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4-2025\"/>
    </mc:Choice>
  </mc:AlternateContent>
  <xr:revisionPtr revIDLastSave="0" documentId="13_ncr:1_{A9ADB348-4C03-427E-BD28-146C1639E51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Исполнение" sheetId="10" r:id="rId1"/>
    <sheet name="План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1" i="10" l="1"/>
  <c r="Y46" i="10"/>
  <c r="AD52" i="10" l="1"/>
  <c r="AC46" i="10"/>
  <c r="AB46" i="10"/>
  <c r="AA46" i="10"/>
  <c r="Z46" i="10"/>
  <c r="AD45" i="10"/>
  <c r="AD44" i="10"/>
  <c r="AD43" i="10"/>
  <c r="AD42" i="10"/>
  <c r="AD41" i="10"/>
  <c r="AD40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C36" i="10"/>
  <c r="AC47" i="10" s="1"/>
  <c r="AC53" i="10" s="1"/>
  <c r="AB36" i="10"/>
  <c r="AA36" i="10"/>
  <c r="Z36" i="10"/>
  <c r="AD35" i="10"/>
  <c r="AD33" i="10"/>
  <c r="AC5" i="10"/>
  <c r="AB5" i="10"/>
  <c r="AA5" i="10"/>
  <c r="Z5" i="10"/>
  <c r="V40" i="10"/>
  <c r="X40" i="10" s="1"/>
  <c r="U40" i="10"/>
  <c r="M40" i="10"/>
  <c r="C47" i="9"/>
  <c r="AB47" i="10" l="1"/>
  <c r="AB53" i="10" s="1"/>
  <c r="Z47" i="10"/>
  <c r="Z53" i="10" s="1"/>
  <c r="AA47" i="10"/>
  <c r="AA53" i="10" s="1"/>
  <c r="AD36" i="10"/>
  <c r="AD46" i="10"/>
  <c r="W40" i="10"/>
  <c r="AD5" i="10"/>
  <c r="Y40" i="10"/>
  <c r="C53" i="9"/>
  <c r="E27" i="10"/>
  <c r="AD47" i="10" l="1"/>
  <c r="AD53" i="10"/>
  <c r="U19" i="10"/>
  <c r="U27" i="10"/>
  <c r="V27" i="10" s="1"/>
  <c r="U6" i="10"/>
  <c r="K6" i="10" l="1"/>
  <c r="V6" i="10"/>
  <c r="X27" i="10"/>
  <c r="W27" i="10"/>
  <c r="Q19" i="10"/>
  <c r="V19" i="10"/>
  <c r="Q6" i="10"/>
  <c r="E6" i="10"/>
  <c r="X19" i="10" l="1"/>
  <c r="W19" i="10"/>
  <c r="X6" i="10"/>
  <c r="W6" i="10"/>
  <c r="P5" i="10"/>
  <c r="J5" i="10"/>
  <c r="U43" i="10" l="1"/>
  <c r="V43" i="10" s="1"/>
  <c r="U42" i="10"/>
  <c r="V42" i="10" s="1"/>
  <c r="U44" i="10"/>
  <c r="V44" i="10" s="1"/>
  <c r="U45" i="10"/>
  <c r="V45" i="10" s="1"/>
  <c r="U41" i="10"/>
  <c r="X43" i="10" l="1"/>
  <c r="W43" i="10"/>
  <c r="X44" i="10"/>
  <c r="W44" i="10"/>
  <c r="X42" i="10"/>
  <c r="W42" i="10"/>
  <c r="C54" i="9"/>
  <c r="D54" i="9" s="1"/>
  <c r="V41" i="10"/>
  <c r="X45" i="10"/>
  <c r="W45" i="10"/>
  <c r="U46" i="10"/>
  <c r="C56" i="9"/>
  <c r="D56" i="9" s="1"/>
  <c r="C55" i="9"/>
  <c r="M45" i="10"/>
  <c r="M41" i="10"/>
  <c r="M42" i="10"/>
  <c r="M43" i="10"/>
  <c r="M44" i="10"/>
  <c r="V46" i="10" l="1"/>
  <c r="X41" i="10"/>
  <c r="X46" i="10" s="1"/>
  <c r="W41" i="10"/>
  <c r="W46" i="10" s="1"/>
  <c r="C57" i="9"/>
  <c r="D55" i="9"/>
  <c r="U31" i="10"/>
  <c r="V31" i="10" s="1"/>
  <c r="X31" i="10" l="1"/>
  <c r="W31" i="10"/>
  <c r="Q31" i="10"/>
  <c r="S31" i="10" s="1"/>
  <c r="K31" i="10"/>
  <c r="L31" i="10" s="1"/>
  <c r="E31" i="10"/>
  <c r="G31" i="10" s="1"/>
  <c r="Y6" i="10"/>
  <c r="T52" i="10"/>
  <c r="S52" i="10"/>
  <c r="R52" i="10"/>
  <c r="M52" i="10"/>
  <c r="L52" i="10"/>
  <c r="G52" i="10"/>
  <c r="F52" i="10"/>
  <c r="Y43" i="10"/>
  <c r="Y42" i="10"/>
  <c r="Y45" i="10"/>
  <c r="Y44" i="10"/>
  <c r="Y31" i="10"/>
  <c r="U30" i="10"/>
  <c r="V30" i="10" s="1"/>
  <c r="U29" i="10"/>
  <c r="V29" i="10" s="1"/>
  <c r="U28" i="10"/>
  <c r="V28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6" i="10"/>
  <c r="V16" i="10" s="1"/>
  <c r="U15" i="10"/>
  <c r="V15" i="10" s="1"/>
  <c r="U14" i="10"/>
  <c r="V14" i="10" s="1"/>
  <c r="U13" i="10"/>
  <c r="V13" i="10" s="1"/>
  <c r="U12" i="10"/>
  <c r="V12" i="10" s="1"/>
  <c r="U9" i="10"/>
  <c r="V9" i="10" s="1"/>
  <c r="U8" i="10"/>
  <c r="V8" i="10" s="1"/>
  <c r="U7" i="10"/>
  <c r="V7" i="10" s="1"/>
  <c r="T35" i="10"/>
  <c r="S35" i="10"/>
  <c r="R35" i="10"/>
  <c r="M35" i="10"/>
  <c r="L35" i="10"/>
  <c r="G35" i="10"/>
  <c r="F35" i="10"/>
  <c r="G33" i="10"/>
  <c r="U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Y33" i="10" l="1"/>
  <c r="V33" i="10"/>
  <c r="W13" i="10"/>
  <c r="X13" i="10"/>
  <c r="X22" i="10"/>
  <c r="W22" i="10"/>
  <c r="X29" i="10"/>
  <c r="W29" i="10"/>
  <c r="W14" i="10"/>
  <c r="X14" i="10"/>
  <c r="X30" i="10"/>
  <c r="W30" i="10"/>
  <c r="U35" i="10"/>
  <c r="V35" i="10" s="1"/>
  <c r="X7" i="10"/>
  <c r="W7" i="10"/>
  <c r="X15" i="10"/>
  <c r="W15" i="10"/>
  <c r="W24" i="10"/>
  <c r="X24" i="10"/>
  <c r="X23" i="10"/>
  <c r="W23" i="10"/>
  <c r="X8" i="10"/>
  <c r="W8" i="10"/>
  <c r="X16" i="10"/>
  <c r="W16" i="10"/>
  <c r="W25" i="10"/>
  <c r="X25" i="10"/>
  <c r="X9" i="10"/>
  <c r="W9" i="10"/>
  <c r="W20" i="10"/>
  <c r="X20" i="10"/>
  <c r="X26" i="10"/>
  <c r="W26" i="10"/>
  <c r="W12" i="10"/>
  <c r="X12" i="10"/>
  <c r="X21" i="10"/>
  <c r="W21" i="10"/>
  <c r="X28" i="10"/>
  <c r="W28" i="10"/>
  <c r="T31" i="10"/>
  <c r="F31" i="10"/>
  <c r="M31" i="10"/>
  <c r="R31" i="10"/>
  <c r="Y14" i="10"/>
  <c r="Q14" i="10"/>
  <c r="K14" i="10"/>
  <c r="E14" i="10"/>
  <c r="Y7" i="10"/>
  <c r="Q7" i="10"/>
  <c r="K7" i="10"/>
  <c r="E7" i="10"/>
  <c r="Y15" i="10"/>
  <c r="K15" i="10"/>
  <c r="Q15" i="10"/>
  <c r="E15" i="10"/>
  <c r="Y24" i="10"/>
  <c r="Q24" i="10"/>
  <c r="K24" i="10"/>
  <c r="E24" i="10"/>
  <c r="Y23" i="10"/>
  <c r="K23" i="10"/>
  <c r="Q23" i="10"/>
  <c r="E23" i="10"/>
  <c r="Y8" i="10"/>
  <c r="K8" i="10"/>
  <c r="Q8" i="10"/>
  <c r="E8" i="10"/>
  <c r="Y16" i="10"/>
  <c r="E16" i="10"/>
  <c r="K16" i="10"/>
  <c r="Y25" i="10"/>
  <c r="Q25" i="10"/>
  <c r="K25" i="10"/>
  <c r="E25" i="10"/>
  <c r="Y30" i="10"/>
  <c r="K30" i="10"/>
  <c r="E30" i="10"/>
  <c r="Y9" i="10"/>
  <c r="K9" i="10"/>
  <c r="Q9" i="10"/>
  <c r="E9" i="10"/>
  <c r="Y20" i="10"/>
  <c r="Q20" i="10"/>
  <c r="K20" i="10"/>
  <c r="E20" i="10"/>
  <c r="Y26" i="10"/>
  <c r="K26" i="10"/>
  <c r="Q26" i="10"/>
  <c r="E26" i="10"/>
  <c r="Y12" i="10"/>
  <c r="Q12" i="10"/>
  <c r="K12" i="10"/>
  <c r="E12" i="10"/>
  <c r="Y21" i="10"/>
  <c r="Q21" i="10"/>
  <c r="K21" i="10"/>
  <c r="E21" i="10"/>
  <c r="Y28" i="10"/>
  <c r="Q28" i="10"/>
  <c r="K28" i="10"/>
  <c r="E28" i="10"/>
  <c r="E19" i="10"/>
  <c r="G19" i="10" s="1"/>
  <c r="K19" i="10"/>
  <c r="Y13" i="10"/>
  <c r="Q13" i="10"/>
  <c r="K13" i="10"/>
  <c r="E13" i="10"/>
  <c r="Y22" i="10"/>
  <c r="Q22" i="10"/>
  <c r="K22" i="10"/>
  <c r="E22" i="10"/>
  <c r="Y29" i="10"/>
  <c r="E29" i="10"/>
  <c r="U52" i="10"/>
  <c r="Y35" i="10"/>
  <c r="D53" i="9"/>
  <c r="D57" i="9" s="1"/>
  <c r="C63" i="9" l="1"/>
  <c r="C64" i="9" s="1"/>
  <c r="V52" i="10"/>
  <c r="W33" i="10"/>
  <c r="X33" i="10"/>
  <c r="W35" i="10"/>
  <c r="X35" i="10"/>
  <c r="M28" i="10"/>
  <c r="L28" i="10"/>
  <c r="R26" i="10"/>
  <c r="T26" i="10"/>
  <c r="S26" i="10"/>
  <c r="F30" i="10"/>
  <c r="G30" i="10"/>
  <c r="M8" i="10"/>
  <c r="L8" i="10"/>
  <c r="R15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F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L15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Y52" i="10"/>
  <c r="D63" i="9" l="1"/>
  <c r="D64" i="9" s="1"/>
  <c r="W52" i="10"/>
  <c r="X52" i="10"/>
  <c r="D25" i="9"/>
  <c r="D37" i="9" l="1"/>
  <c r="D31" i="9" l="1"/>
  <c r="D34" i="9" l="1"/>
  <c r="D23" i="9" l="1"/>
  <c r="D46" i="9" l="1"/>
  <c r="D45" i="9" l="1"/>
  <c r="D47" i="9" s="1"/>
  <c r="D38" i="9"/>
  <c r="D36" i="9"/>
  <c r="D35" i="9"/>
  <c r="D33" i="9"/>
  <c r="D32" i="9"/>
  <c r="D30" i="9"/>
  <c r="D29" i="9"/>
  <c r="D28" i="9"/>
  <c r="D27" i="9"/>
  <c r="C26" i="9"/>
  <c r="U11" i="10" s="1"/>
  <c r="V11" i="10" s="1"/>
  <c r="D24" i="9"/>
  <c r="D22" i="9"/>
  <c r="D16" i="9"/>
  <c r="D15" i="9"/>
  <c r="D14" i="9"/>
  <c r="D13" i="9"/>
  <c r="D12" i="9"/>
  <c r="D11" i="9"/>
  <c r="D10" i="9"/>
  <c r="D9" i="9"/>
  <c r="C8" i="9"/>
  <c r="U10" i="10" s="1"/>
  <c r="V10" i="10" s="1"/>
  <c r="W10" i="10" l="1"/>
  <c r="X10" i="10"/>
  <c r="X11" i="10"/>
  <c r="W11" i="10"/>
  <c r="Y11" i="10"/>
  <c r="K11" i="10"/>
  <c r="Q11" i="10"/>
  <c r="E11" i="10"/>
  <c r="Q10" i="10"/>
  <c r="K10" i="10"/>
  <c r="E10" i="10"/>
  <c r="Y10" i="10"/>
  <c r="C30" i="9"/>
  <c r="U18" i="10" s="1"/>
  <c r="V18" i="10" s="1"/>
  <c r="C11" i="9"/>
  <c r="U17" i="10" s="1"/>
  <c r="V17" i="10" s="1"/>
  <c r="D39" i="9"/>
  <c r="D17" i="9"/>
  <c r="X17" i="10" l="1"/>
  <c r="W17" i="10"/>
  <c r="X18" i="10"/>
  <c r="W18" i="10"/>
  <c r="F11" i="10"/>
  <c r="G11" i="10"/>
  <c r="G10" i="10"/>
  <c r="F10" i="10"/>
  <c r="M10" i="10"/>
  <c r="L10" i="10"/>
  <c r="T10" i="10"/>
  <c r="R10" i="10"/>
  <c r="S10" i="10"/>
  <c r="T11" i="10"/>
  <c r="S11" i="10"/>
  <c r="R11" i="10"/>
  <c r="Y17" i="10"/>
  <c r="Q17" i="10"/>
  <c r="K17" i="10"/>
  <c r="E17" i="10"/>
  <c r="Y18" i="10"/>
  <c r="K18" i="10"/>
  <c r="Q18" i="10"/>
  <c r="E18" i="10"/>
  <c r="L11" i="10"/>
  <c r="M11" i="10"/>
  <c r="C17" i="9"/>
  <c r="C39" i="9"/>
  <c r="D40" i="9"/>
  <c r="D48" i="9" s="1"/>
  <c r="D58" i="9" s="1"/>
  <c r="D65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8" i="9" s="1"/>
  <c r="C58" i="9" s="1"/>
  <c r="C65" i="9" s="1"/>
  <c r="G27" i="10"/>
  <c r="F27" i="10"/>
  <c r="U36" i="10"/>
  <c r="V36" i="10" s="1"/>
  <c r="Y19" i="10"/>
  <c r="X36" i="10" l="1"/>
  <c r="X47" i="10" s="1"/>
  <c r="X53" i="10" s="1"/>
  <c r="W36" i="10"/>
  <c r="W47" i="10" s="1"/>
  <c r="W53" i="10" s="1"/>
  <c r="V47" i="10"/>
  <c r="V53" i="10" s="1"/>
  <c r="Y27" i="10"/>
  <c r="Y36" i="10" s="1"/>
  <c r="K27" i="10"/>
  <c r="Q27" i="10"/>
  <c r="F19" i="10"/>
  <c r="G5" i="10"/>
  <c r="M27" i="10" l="1"/>
  <c r="M5" i="10" s="1"/>
  <c r="L27" i="10"/>
  <c r="K5" i="10"/>
  <c r="L5" i="10" s="1"/>
  <c r="S27" i="10"/>
  <c r="R27" i="10"/>
  <c r="T27" i="10"/>
  <c r="T5" i="10" s="1"/>
  <c r="Q5" i="10"/>
  <c r="R5" i="10" s="1"/>
  <c r="S5" i="10" l="1"/>
  <c r="U5" i="10" s="1"/>
  <c r="Y47" i="10"/>
  <c r="Y53" i="10" s="1"/>
  <c r="U47" i="10"/>
  <c r="U53" i="10" s="1"/>
  <c r="Y5" i="10" l="1"/>
  <c r="V5" i="10"/>
  <c r="X5" i="10" l="1"/>
  <c r="W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</author>
  </authors>
  <commentList>
    <comment ref="Z12" authorId="0" shapeId="0" xr:uid="{671909CC-10BA-45CE-9B27-B731DBD2F0F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9000,00 - Госпошлина
21000,00 - Юридические услуги</t>
        </r>
      </text>
    </comment>
    <comment ref="AA12" authorId="0" shapeId="0" xr:uid="{754EB176-9541-4DBE-95CB-BEB6B3AB799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19000,00 - Юридические услуги
3000,00 - Госпошлина</t>
        </r>
      </text>
    </comment>
    <comment ref="AB12" authorId="0" shapeId="0" xr:uid="{84C4B8D6-E416-4A0F-AC83-913CF35157D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15000,00 - Юридические услуги
9295,00 - Госпошлина</t>
        </r>
      </text>
    </comment>
    <comment ref="AC12" authorId="1" shapeId="0" xr:uid="{B706B4D4-AC4E-4F2F-992D-DC2F078DA10F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32000,00 - Юридические услуги</t>
        </r>
      </text>
    </comment>
    <comment ref="Z13" authorId="0" shapeId="0" xr:uid="{CC057DB0-E937-4EDD-99D0-B246F892AB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54,66 - Почтовые уведомления
65,00 - Марки
</t>
        </r>
      </text>
    </comment>
    <comment ref="AA13" authorId="0" shapeId="0" xr:uid="{4398FC71-648E-4493-BF14-A18632FDBA8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500,58 - Почтовые уведомления
1900,00 - Ремонт принтера
242,00 - Марки</t>
        </r>
      </text>
    </comment>
    <comment ref="AB13" authorId="0" shapeId="0" xr:uid="{291C8C01-EB73-4BC5-82D2-78AA032396B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1785,97 - Канцелярские товары</t>
        </r>
      </text>
    </comment>
    <comment ref="AC13" authorId="1" shapeId="0" xr:uid="{324D243F-B1E1-469F-9FBA-A75B7B580B44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79,80 - Почтовые уведомления</t>
        </r>
      </text>
    </comment>
    <comment ref="AA14" authorId="0" shapeId="0" xr:uid="{35DCFE3C-9E1C-4821-BFD8-8D2DCCA5CB9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64200,00 - Диспенсер ЭКОНОМ уличный (без стойки) и бумажные пакеты
2000,00 - Доставка
280,64 - Материалы для уборки
</t>
        </r>
      </text>
    </comment>
    <comment ref="AB14" authorId="0" shapeId="0" xr:uid="{73AD0CA8-B025-4DAB-A07D-D3BB2107013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1921,00 - Материалы для уборки</t>
        </r>
      </text>
    </comment>
    <comment ref="AC14" authorId="1" shapeId="0" xr:uid="{941AEE3D-AF12-4672-8AE4-5B8D6079978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10008,00 - Материалы для уборки</t>
        </r>
      </text>
    </comment>
    <comment ref="Z16" authorId="0" shapeId="0" xr:uid="{890785EF-62BA-4EB4-A99F-76266228CC1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16441,40 - Cемена, саженцы и материалы для посадки
51724,00 - Д/п на озеленение территории
14017,20 - Взносы с д/п</t>
        </r>
      </text>
    </comment>
    <comment ref="AA16" authorId="0" shapeId="0" xr:uid="{F1E8786A-7E69-4AFD-AD5B-00F059EFB8C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3193,00 - Cемена, саженцы и материалы для посадки
22988,00 - Д/п на озеленение территории
6229,75 - Взносы с д/п</t>
        </r>
      </text>
    </comment>
    <comment ref="AB16" authorId="0" shapeId="0" xr:uid="{DFA5D94A-8E0E-4D9A-8473-E15A7DF52FD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32564,00 - Cемена, саженцы и материалы для посадки</t>
        </r>
      </text>
    </comment>
    <comment ref="AC16" authorId="1" shapeId="0" xr:uid="{CD7FFF3D-8C68-4B9C-9EE5-2314B50D3C0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20532,42 - Cемена, саженцы и материалы для посадки</t>
        </r>
      </text>
    </comment>
    <comment ref="Z21" authorId="0" shapeId="0" xr:uid="{E09A5BBF-002E-4264-B3BE-53D6D4A249D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3133,00 - Аренда дискового пространства для функционирования сайта ТСЖ.</t>
        </r>
      </text>
    </comment>
    <comment ref="AA21" authorId="0" shapeId="0" xr:uid="{7B18407C-9C85-4171-8624-D905306678A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2331,79 - Аренда дискового пространства для функционирования сайта ТСЖ.</t>
        </r>
      </text>
    </comment>
    <comment ref="AB21" authorId="0" shapeId="0" xr:uid="{105DEEA5-E8C6-4184-A0C4-BA3012F16AE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1777,61 - Аренда дискового пространства для функционирования сайта ТСЖ.
2389,00 - Продление регистрации домена.</t>
        </r>
      </text>
    </comment>
    <comment ref="AC21" authorId="1" shapeId="0" xr:uid="{88758298-10CB-4740-A562-DA1AD4C56EF5}">
      <text>
        <r>
          <rPr>
            <b/>
            <sz val="9"/>
            <color indexed="81"/>
            <rFont val="Tahoma"/>
            <family val="2"/>
            <charset val="204"/>
          </rPr>
          <t xml:space="preserve">Admin:
</t>
        </r>
        <r>
          <rPr>
            <sz val="9"/>
            <color indexed="81"/>
            <rFont val="Tahoma"/>
            <family val="2"/>
            <charset val="204"/>
          </rPr>
          <t>6000,00 - Ежемесячное обслуживание ГИС ЖКХ
4646,88 - Аренда дискового пространства для функционирования сайта ТСЖ
900,00 - Услуга DNS-master S
9500,00 - Настройка ПО
1350,00 - Лицензия на право использования СКЗИ "КриптоПро CSP версии 5.0 годовая" 
2000,00 - Передача неисключительных имущественных прав (Лицензия) на право использования "Астрал-ЭТ"
5900,00 - Передача неисключительных имущественных прав (Лицензия) на право использования "Астрал-Отчетность"</t>
        </r>
      </text>
    </comment>
    <comment ref="Z23" authorId="0" shapeId="0" xr:uid="{C4857A11-0226-41C2-8C48-BCC89A871F6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58878,90 - ТО лифтов и ОДС
14696,12 - Техническое освидетельствование лифтов</t>
        </r>
      </text>
    </comment>
    <comment ref="AA23" authorId="0" shapeId="0" xr:uid="{B072390A-4165-4A48-A9BD-19120F22F84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53694,90 - ТО лифтов
5184,00 - ТО ОДС
1500,00 - Страхование лифтов</t>
        </r>
      </text>
    </comment>
    <comment ref="AB23" authorId="0" shapeId="0" xr:uid="{6662927F-7E97-4365-8CD5-C0AA8110995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53694,90 - ТО лифтов
5184,00 - ТО ОДС</t>
        </r>
      </text>
    </comment>
    <comment ref="AC23" authorId="1" shapeId="0" xr:uid="{49BCFBC1-6DE0-48DD-9C59-6B26FFE3CFE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53694,90 - ТО лифтов
5184,00 - ТО ОДС</t>
        </r>
      </text>
    </comment>
    <comment ref="AA24" authorId="0" shapeId="0" xr:uid="{89CF8A20-075B-4250-91FD-E5E8B0AD147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3499,00 - Картридж</t>
        </r>
      </text>
    </comment>
    <comment ref="AC24" authorId="1" shapeId="0" xr:uid="{1A1F5BE3-CFE8-4005-B7F1-F426140CEA7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2950,00 - заправка картриджей
2599,00 - канцелярский товары</t>
        </r>
      </text>
    </comment>
    <comment ref="Z25" authorId="0" shapeId="0" xr:uid="{6C915B9B-5354-459E-B21D-D1EA552A3D6A}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14000,00 - Выполнение работ по ремонту и восстановлению системы Urmet (Видеонаблюдение)
26900,00 - Ремонт платы MITSUBISHI KCA-910 А и выезд техника (ТО лифтов)
140316,00 - Ремонт узла примыкания панорамного остекления
196432,00 - Работы по изготовлению и монтажу дверей
222459,00 - Обследование кровли и фасадов
3000,00 - Компенсация порчи имущества</t>
        </r>
      </text>
    </comment>
    <comment ref="AA25" authorId="0" shapeId="0" xr:uid="{FE765D90-64C1-4A9B-B415-2FFB9B3B44F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429080,00 - Работы по ремонту стен выходов на кровлю
4805,00 - Ремонт подъемно секционных ворот
120179,00 - Ремонт узла примыкания панорамного остекления
12840,00 - Ремонт фасада
1360,00 - Выезд механика для ремонта поломоечной машины
22989,00 - Д/п на ревизию наружной водосточной системы фасада и косметический ремонт тамбур-шлюза парадной № 2
6230,02 - Взносы с д/п</t>
        </r>
      </text>
    </comment>
    <comment ref="AB25" authorId="0" shapeId="0" xr:uid="{31FE0C68-1BF0-425E-9CAF-F8967E0363C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5205,00 - Ремонт подъемно секционных ворот
6090,00 - ТО поломоечной машины
40500,00 - Герметизация водоотводного лотка с терассы
15000,00 - Замена кабеля и ремонт лестничной площадки</t>
        </r>
      </text>
    </comment>
    <comment ref="AC25" authorId="1" shapeId="0" xr:uid="{1359FE25-3283-4D66-99F3-8F569CB6FC1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4800,00 - Ремонт подъемно секционных ворот
6770,00 - ТО поломоечной машины
42848,00 - Проверка, промывка, замена и ремонт датчиков давления и температуры</t>
        </r>
      </text>
    </comment>
    <comment ref="Z26" authorId="0" shapeId="0" xr:uid="{957106FF-923F-4787-8046-E9E69C13E07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75700,00 - Плата контроллера KCA-910A Mitsubishi Electric
97055,00 - Строительные материалы и инструменты
4010,26 - Доставка и подъем строительных материалов</t>
        </r>
      </text>
    </comment>
    <comment ref="AA26" authorId="0" shapeId="0" xr:uid="{385EB4FD-46A9-43CC-B34E-97BBB4AC468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135329,07 - Строительные материалы и инструменты
3000,80 - Доставка и подъем строительных материалов</t>
        </r>
      </text>
    </comment>
    <comment ref="AB26" authorId="0" shapeId="0" xr:uid="{C2351E0F-6D2B-4E04-9D12-B5778701804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29330,00 - Материалы для ремонта поломоечной машины
26400,00 - Материалы для ремонта лифта (нажимные поверхности кнопки и вентилятор)
42400,00 - Манометр ТМ-510Р 1,0 МПа 1/2 М2
22668,60 - Строительные материалы</t>
        </r>
      </text>
    </comment>
    <comment ref="AC26" authorId="1" shapeId="0" xr:uid="{89947DE5-A309-4CD9-B75F-51D488602E6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47708,68 - Материалы для ремонта поломоечной машины
193207,00 - Строительные материалы
2373,60 - Доставка материалов</t>
        </r>
      </text>
    </comment>
  </commentList>
</comments>
</file>

<file path=xl/sharedStrings.xml><?xml version="1.0" encoding="utf-8"?>
<sst xmlns="http://schemas.openxmlformats.org/spreadsheetml/2006/main" count="399" uniqueCount="205">
  <si>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</si>
  <si>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</si>
  <si>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</si>
  <si>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</si>
  <si>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</si>
  <si>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</si>
  <si>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</si>
  <si>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</si>
  <si>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</si>
  <si>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</si>
  <si>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</si>
  <si>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</si>
  <si>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</si>
  <si>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</si>
  <si>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</si>
  <si>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</si>
  <si>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</si>
  <si>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</si>
  <si>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</si>
  <si>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</si>
  <si>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</si>
  <si>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</si>
  <si>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</si>
  <si>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</si>
  <si>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</si>
  <si>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</si>
  <si>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</si>
  <si>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</si>
  <si>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</si>
  <si>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</si>
  <si>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</si>
  <si>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</si>
  <si>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</si>
  <si>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</si>
  <si>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</si>
  <si>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</si>
  <si>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</si>
  <si>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</si>
  <si>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</si>
  <si>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</si>
  <si>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</si>
  <si>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</si>
  <si>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</si>
  <si>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</si>
  <si>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</si>
  <si>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</si>
  <si>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</si>
  <si>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</si>
  <si>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</si>
  <si>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</si>
  <si>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</si>
  <si>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</si>
  <si>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</si>
  <si>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</si>
  <si>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</si>
  <si>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</si>
  <si>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</si>
  <si>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</si>
  <si>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</si>
  <si>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</si>
  <si>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</si>
  <si>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</si>
  <si>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</si>
  <si>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</si>
  <si>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</si>
  <si>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</si>
  <si>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</si>
  <si>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</si>
  <si>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</si>
  <si>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</si>
  <si>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</si>
  <si>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</si>
  <si>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</si>
  <si>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</si>
  <si>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</si>
  <si>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</si>
  <si>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</si>
  <si>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</si>
  <si>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</si>
  <si>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</si>
  <si>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</si>
  <si>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</si>
  <si>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</si>
  <si>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Ежемесячное обслуживание по договору № 07-12-2012-СО.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</si>
  <si>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</si>
  <si>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</si>
  <si>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</si>
  <si>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</si>
  <si>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</si>
  <si>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Резервный фонд (СоИ)</t>
  </si>
  <si>
    <t>Электроэнергия (дневная зона)</t>
  </si>
  <si>
    <t>Электроэнергия (ночная зона)</t>
  </si>
  <si>
    <t>Ежемесячное техническое обслуживание видеодомофона по Договору 4-С от 01.03.2019 г.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</si>
  <si>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</si>
  <si>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</si>
  <si>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</si>
  <si>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</si>
  <si>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</si>
  <si>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</si>
  <si>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</si>
  <si>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</si>
  <si>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</si>
  <si>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</si>
  <si>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</si>
  <si>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</si>
  <si>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2021 -2022 </t>
    </r>
    <r>
      <rPr>
        <sz val="11"/>
        <rFont val="Times New Roman"/>
        <family val="1"/>
        <charset val="204"/>
      </rPr>
      <t>г.</t>
    </r>
  </si>
  <si>
    <t>Тариф 2021-2022 гг.</t>
  </si>
  <si>
    <t xml:space="preserve">Изменения в % </t>
  </si>
  <si>
    <t>Справочно:</t>
  </si>
  <si>
    <t>Метраж помещений</t>
  </si>
  <si>
    <t>Тариф 2021 -2022 гг.</t>
  </si>
  <si>
    <t>Тариф 2022 -2023 гг.</t>
  </si>
  <si>
    <t>Тариф 2022-2023 гг.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</si>
  <si>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2022 -2023 </t>
    </r>
    <r>
      <rPr>
        <sz val="11"/>
        <rFont val="Times New Roman"/>
        <family val="1"/>
        <charset val="204"/>
      </rPr>
      <t>г.</t>
    </r>
  </si>
  <si>
    <t>Финансово-хозяйственный план  ТСЖ  "10-я линия 17-Г" на 2022-2023 год.</t>
  </si>
  <si>
    <t>Тариф уменьшен в соответствии с затратами прошлых лет.</t>
  </si>
  <si>
    <t xml:space="preserve">Ежемесячное обслуживание по договору № 66 от 03.12.2018 г. </t>
  </si>
  <si>
    <t>Юридические услуги, госпошлина, экспертиза. Тариф увеличен в соответствии с затратами прошлых лет.</t>
  </si>
  <si>
    <t>Хозяйственный инвентарь. Материалы и средства для уборки.</t>
  </si>
  <si>
    <t>ЗАО "Зэт", АО "Калуга Астрал", ООО "МТ ФИНАНС", АО "РСИЦ"</t>
  </si>
  <si>
    <t>15 000,00 руб. - ежемесячная оплата за техническое обслуживание, 55 680,00 руб. - проверка работоспособности пожарных гидрантов.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</si>
  <si>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</si>
  <si>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</si>
  <si>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</si>
  <si>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</si>
  <si>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</si>
  <si>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</si>
  <si>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</si>
  <si>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</si>
  <si>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</si>
  <si>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</si>
  <si>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</si>
  <si>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</si>
  <si>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</si>
  <si>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</si>
  <si>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</si>
  <si>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</si>
  <si>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</si>
  <si>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</si>
  <si>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</si>
  <si>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</si>
  <si>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</si>
  <si>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</si>
  <si>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</si>
  <si>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</si>
  <si>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</si>
  <si>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</si>
  <si>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</si>
  <si>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</si>
  <si>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</si>
  <si>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</si>
  <si>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</si>
  <si>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</si>
  <si>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</si>
  <si>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</si>
  <si>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</si>
  <si>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</si>
  <si>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</si>
  <si>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</si>
  <si>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</si>
  <si>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</si>
  <si>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</si>
  <si>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ПФР (страховая часть) - 22%, ФФОМС - 5.1%, ФСС (несчастный случай) -0,2%, ФСС (соц. страх. нетрудоспособности) - 2,9%</t>
  </si>
  <si>
    <t>АО "Невский экологический оператор"</t>
  </si>
  <si>
    <t>C 01.07.2022 тариф на отопление увеличен с 1880,11 руб./Гкал до 1947,79 руб./Гкал, и с 112,81 руб./м3 до 116,87 руб./м3 на горячую воду.</t>
  </si>
  <si>
    <t xml:space="preserve">Председатель Правления, управляющий, бухгалтер. </t>
  </si>
  <si>
    <t>Ежемесячное обслуживание по Доп. соглашение №1 от 01.01.2017г. к Договору №Б-65-А от 29.07.2013 г. C 01.01.23 г. стоимость услуги увеличивается с 8 160 руб. до 8 976 руб.</t>
  </si>
  <si>
    <t>Ежемесячное обслуживание по договору № 38320 от 01.04.2011 г. С 01.01.2022 г. стоимость услуги увеличена с 11 847,89 руб. до 13 020,84 руб.</t>
  </si>
  <si>
    <t xml:space="preserve"> Обслуживание системы кондиционирования два раза в год. Увеличена стоимость материалов (фреон).</t>
  </si>
  <si>
    <t>Следующая плановая очистка фасада перенесена на 2023 год.</t>
  </si>
  <si>
    <t>Подготовка к обязательной сдаче экзаменов на допуск к работам по обслуживанию лифтов, тепло - и электробезопасность Тариф уменьшен в соответствии с затратами прошлых лет.</t>
  </si>
  <si>
    <t xml:space="preserve">С 01.01.2022 г. организацией ответственной за вывоз и утилизацию ТКО является региональный оператор - АО "Невский экологический оператор". Плата за вывоз мусора рассчитывается по формуле: 969,70 руб/м3 х 0,0066 х Кол-во метров S квартиры, · 969,70 руб/м3 – тариф на услугу регионального оператора (АО «Невский экологический оператор») · 0,0066 – норматив накопления ТКО на 1 м3. </t>
  </si>
  <si>
    <t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01.01.2021 г. составляет 11,74 руб.\м2. Правительством г. Санкт-Петербурга на период 2021 - 2022 гг. тариф сохранен без изменений.</t>
  </si>
  <si>
    <t>C 01.07.2022 тариф на электрическую энергию увеличен с 4,28 руб./кВт∙ч до 4,51 руб./кВт∙ч. (дневная зона) и с 2,36 руб./кВт∙ч до 2,44 руб./кВт∙ч. (ночная зона).</t>
  </si>
  <si>
    <t>C 01.07.2022 тариф на холодное водоснабжение и водоотведение увеличен с 33,12 руб./м3 до 33,68 руб./м3.</t>
  </si>
  <si>
    <t>Коммунальные ресурсы, потребляемые в целях содержания общего имущества в многоквартирном доме, в т.ч.:  холодная вода - 0,18 руб./м2, горячая вода - 0,40 руб./м2, водоотведение - 0,29 руб./м2. Итого: 0,87 руб./м2.</t>
  </si>
  <si>
    <t>Запланированные работы - Гидроизоляция дворовой территории (замена дождеприемных воронок - 8 шт. (от 350 т.р.), Модернизация системы видеонаблюдения контроля допуска (200 т.р.), Замена дверей (выход на кровлю) - 4 шт., Гидроизоляционные работы по фасаду 4ой парадной.</t>
  </si>
  <si>
    <t>Ежемесячное обслуживание по договору № 2210-18/ОУ от 22.10.2018 г. С 01.07.2021 исполнителем является ООО "ОО "ДОВЕРИЕ". Стоимость ежемесячного обслуживания снижена со 231000,00 руб. до 216000,00 руб.</t>
  </si>
  <si>
    <t>Ежемесячное обслуживание по договору № 30593 от 03.08.2009 г. С 01.07.2021 г. стомость за радиоточку увеличена с 102,50 руб./шт до 109 руб./шт.</t>
  </si>
  <si>
    <t>ПФР (страховая часть) - 22%, ФФОМС - 5.1%, ФСС (несчастный случай) - 0,2%, ФСС (соц. страх. нетрудоспособность) - 2,9%.</t>
  </si>
  <si>
    <t>Хостинг, консультации по работе с ПО, электронные подписи и ключи, ежемесячное обслуживание ГИС ЖКХ - 48 т.р. Плановые работы - перенос данных из двух баз 1с в одну, услуги по настройке выгрузки в ГИС ЖКХ и на сайт ТСЖ (от 150 т.р.)</t>
  </si>
  <si>
    <t>71,9585 / 73,0432</t>
  </si>
  <si>
    <t>77,5092 / 78,7922</t>
  </si>
  <si>
    <t>7,71% / 7,87%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</si>
  <si>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>77,5092</t>
    </r>
    <r>
      <rPr>
        <sz val="11"/>
        <rFont val="Times New Roman"/>
        <family val="1"/>
        <charset val="204"/>
      </rPr>
      <t xml:space="preserve"> 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78,7922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</si>
  <si>
    <t>ЗАПЛАНИРОВАННЫЕ РАСХОДЫ</t>
  </si>
  <si>
    <t>ФАКТИЧЕСКИЕ РАСХОДЫ</t>
  </si>
  <si>
    <t>За полугодие</t>
  </si>
  <si>
    <t>За 9 месяцев</t>
  </si>
  <si>
    <t>За квартал</t>
  </si>
  <si>
    <t>За месяц</t>
  </si>
  <si>
    <t>За год</t>
  </si>
  <si>
    <t>по состоянию на 01 января 2023 года (с момента первых начислений)</t>
  </si>
  <si>
    <t>1 квартал</t>
  </si>
  <si>
    <t>2 квартал</t>
  </si>
  <si>
    <t>3 квартал</t>
  </si>
  <si>
    <t>4 квартал</t>
  </si>
  <si>
    <t>Фактические расходы:</t>
  </si>
  <si>
    <t>Итого по коммунальным услугам:</t>
  </si>
  <si>
    <t>ФАКТИЧЕСКИЕ НАЧИСЛЕНИЯ (с учетом пени)</t>
  </si>
  <si>
    <t>Итого без учета коммунальных услуг:</t>
  </si>
  <si>
    <t>ОТЧЕТ ПО ИСПОЛНЕНИЮ СМЕТЫ С 01.06.2022 ПО 31.05.2023 ГГ.</t>
  </si>
  <si>
    <t>В месяц</t>
  </si>
  <si>
    <t>В квартал</t>
  </si>
  <si>
    <t>Итого запланированные расходы с учетом потребления коммунальных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</si>
</sst>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theme="9" tint="-0.249977111117893"/>
      <name val="Times New Roman"/>
      <family val="1"/>
      <charset val="204"/>
    </font>
    <font>
      <b/>
      <sz val="11"/>
      <color rgb="FF92D05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0" fontId="8" fillId="0" borderId="0" xfId="0" applyNumberFormat="1" applyFont="1"/>
    <xf numFmtId="0" fontId="8" fillId="0" borderId="5" xfId="0" applyFont="1" applyBorder="1"/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AD64"/>
  <sheetViews>
    <sheetView tabSelected="1" zoomScale="85" zoomScaleNormal="85" workbookViewId="0">
      <selection activeCell="AI36" sqref="AI36"/>
    </sheetView>
  </sheetViews>
  <sheetFormatPr defaultRowHeight="15" x14ac:dyDescent="0.25"/>
  <cols>
    <col min="1" max="1" width="40.28515625" style="34" bestFit="1" customWidth="1"/>
    <col min="2" max="2" width="10.28515625" style="34" hidden="1" customWidth="1"/>
    <col min="3" max="3" width="11" style="34" hidden="1" customWidth="1"/>
    <col min="4" max="4" width="20.85546875" style="34" hidden="1" customWidth="1"/>
    <col min="5" max="5" width="20.140625" style="34" hidden="1" customWidth="1"/>
    <col min="6" max="6" width="21.85546875" style="34" hidden="1" customWidth="1"/>
    <col min="7" max="7" width="11.7109375" style="34" hidden="1" customWidth="1"/>
    <col min="8" max="8" width="9.140625" style="34" hidden="1" customWidth="1"/>
    <col min="9" max="9" width="11" style="34" hidden="1" customWidth="1"/>
    <col min="10" max="10" width="20.5703125" style="34" hidden="1" customWidth="1"/>
    <col min="11" max="11" width="20.28515625" style="34" hidden="1" customWidth="1"/>
    <col min="12" max="12" width="21.85546875" style="34" hidden="1" customWidth="1"/>
    <col min="13" max="13" width="13.140625" style="34" hidden="1" customWidth="1"/>
    <col min="14" max="14" width="9.140625" style="34" hidden="1" customWidth="1"/>
    <col min="15" max="15" width="11" style="34" hidden="1" customWidth="1"/>
    <col min="16" max="17" width="19.85546875" style="34" hidden="1" customWidth="1"/>
    <col min="18" max="18" width="21.85546875" style="34" hidden="1" customWidth="1"/>
    <col min="19" max="19" width="11.7109375" style="34" hidden="1" customWidth="1"/>
    <col min="20" max="20" width="9.42578125" style="34" hidden="1" customWidth="1"/>
    <col min="21" max="21" width="13.140625" style="34" customWidth="1"/>
    <col min="22" max="22" width="14.5703125" style="34" bestFit="1" customWidth="1"/>
    <col min="23" max="23" width="14.140625" style="34" bestFit="1" customWidth="1"/>
    <col min="24" max="25" width="14.28515625" style="34" bestFit="1" customWidth="1"/>
    <col min="26" max="28" width="13.140625" style="34" bestFit="1" customWidth="1"/>
    <col min="29" max="29" width="12.7109375" style="34" customWidth="1"/>
    <col min="30" max="30" width="15.28515625" style="34" customWidth="1"/>
    <col min="31" max="16384" width="9.140625" style="34"/>
  </cols>
  <sheetData>
    <row r="1" spans="1:30" x14ac:dyDescent="0.25">
      <c r="A1" s="44" t="s">
        <v>201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x14ac:dyDescent="0.25">
      <c r="A2" s="44" t="s">
        <v>73</v>
      </c>
      <c r="B2" s="44" t="s">
        <v>68</v>
      </c>
      <c r="C2" s="44"/>
      <c r="D2" s="44"/>
      <c r="E2" s="44"/>
      <c r="F2" s="44"/>
      <c r="G2" s="44"/>
      <c r="H2" s="44" t="s">
        <v>69</v>
      </c>
      <c r="I2" s="44"/>
      <c r="J2" s="44"/>
      <c r="K2" s="44"/>
      <c r="L2" s="44"/>
      <c r="M2" s="44"/>
      <c r="N2" s="44" t="s">
        <v>70</v>
      </c>
      <c r="O2" s="44"/>
      <c r="P2" s="44"/>
      <c r="Q2" s="44"/>
      <c r="R2" s="44"/>
      <c r="S2" s="44"/>
      <c r="T2" s="44"/>
      <c r="U2" s="44" t="s">
        <v>185</v>
      </c>
      <c r="V2" s="44"/>
      <c r="W2" s="44"/>
      <c r="X2" s="44"/>
      <c r="Y2" s="44"/>
      <c r="Z2" s="44" t="s">
        <v>186</v>
      </c>
      <c r="AA2" s="44"/>
      <c r="AB2" s="44"/>
      <c r="AC2" s="44"/>
      <c r="AD2" s="44"/>
    </row>
    <row r="3" spans="1:30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ht="45" x14ac:dyDescent="0.25">
      <c r="A4" s="44"/>
      <c r="B4" s="41" t="s">
        <v>45</v>
      </c>
      <c r="C4" s="42" t="s">
        <v>109</v>
      </c>
      <c r="D4" s="42" t="s">
        <v>110</v>
      </c>
      <c r="E4" s="42" t="s">
        <v>111</v>
      </c>
      <c r="F4" s="42" t="s">
        <v>78</v>
      </c>
      <c r="G4" s="42" t="s">
        <v>46</v>
      </c>
      <c r="H4" s="41" t="s">
        <v>44</v>
      </c>
      <c r="I4" s="42" t="s">
        <v>109</v>
      </c>
      <c r="J4" s="42" t="s">
        <v>110</v>
      </c>
      <c r="K4" s="42" t="s">
        <v>111</v>
      </c>
      <c r="L4" s="42" t="s">
        <v>78</v>
      </c>
      <c r="M4" s="41" t="s">
        <v>46</v>
      </c>
      <c r="N4" s="41" t="s">
        <v>44</v>
      </c>
      <c r="O4" s="42" t="s">
        <v>109</v>
      </c>
      <c r="P4" s="42" t="s">
        <v>110</v>
      </c>
      <c r="Q4" s="42" t="s">
        <v>111</v>
      </c>
      <c r="R4" s="42" t="s">
        <v>78</v>
      </c>
      <c r="S4" s="41" t="s">
        <v>46</v>
      </c>
      <c r="T4" s="42" t="s">
        <v>54</v>
      </c>
      <c r="U4" s="41" t="s">
        <v>202</v>
      </c>
      <c r="V4" s="41" t="s">
        <v>203</v>
      </c>
      <c r="W4" s="41" t="s">
        <v>187</v>
      </c>
      <c r="X4" s="41" t="s">
        <v>188</v>
      </c>
      <c r="Y4" s="41" t="s">
        <v>191</v>
      </c>
      <c r="Z4" s="41" t="s">
        <v>193</v>
      </c>
      <c r="AA4" s="41" t="s">
        <v>194</v>
      </c>
      <c r="AB4" s="41" t="s">
        <v>195</v>
      </c>
      <c r="AC4" s="41" t="s">
        <v>196</v>
      </c>
      <c r="AD4" s="41" t="s">
        <v>55</v>
      </c>
    </row>
    <row r="5" spans="1:30" ht="28.5" x14ac:dyDescent="0.25">
      <c r="A5" s="38" t="s">
        <v>66</v>
      </c>
      <c r="B5" s="10" t="s">
        <v>43</v>
      </c>
      <c r="C5" s="10">
        <v>7172.8</v>
      </c>
      <c r="D5" s="10" t="s">
        <v>181</v>
      </c>
      <c r="E5" s="10" t="s">
        <v>182</v>
      </c>
      <c r="F5" s="10" t="s">
        <v>183</v>
      </c>
      <c r="G5" s="10">
        <f>SUM(G6:G31)</f>
        <v>561237.70834599191</v>
      </c>
      <c r="H5" s="10" t="s">
        <v>43</v>
      </c>
      <c r="I5" s="10">
        <v>879.2</v>
      </c>
      <c r="J5" s="10">
        <f>SUM(J6:J31)</f>
        <v>88.491179038255083</v>
      </c>
      <c r="K5" s="10">
        <f>SUM(K6:K31)</f>
        <v>92.788219577295166</v>
      </c>
      <c r="L5" s="10">
        <f t="shared" ref="L5:L28" si="0">(K5-J5)/J5</f>
        <v>4.8558970348699451E-2</v>
      </c>
      <c r="M5" s="10">
        <f>SUM(M6:M31)</f>
        <v>81579.402652357894</v>
      </c>
      <c r="N5" s="10" t="s">
        <v>43</v>
      </c>
      <c r="O5" s="10">
        <v>2150.25</v>
      </c>
      <c r="P5" s="10">
        <f>SUM(P6:P31)</f>
        <v>114.48100924443563</v>
      </c>
      <c r="Q5" s="10">
        <f>SUM(Q6:Q31)</f>
        <v>114.9583951873736</v>
      </c>
      <c r="R5" s="10">
        <f>(Q5-P5)/P5</f>
        <v>4.1700011738949154E-3</v>
      </c>
      <c r="S5" s="10">
        <f>SUM(S6:S31)</f>
        <v>247189.2892516501</v>
      </c>
      <c r="T5" s="10">
        <f>SUM(T6:T45)</f>
        <v>3320.8000900220018</v>
      </c>
      <c r="U5" s="10">
        <f>SUM(G5+M5+S5)</f>
        <v>890006.40024999995</v>
      </c>
      <c r="V5" s="10">
        <f>SUM(U5)*3</f>
        <v>2670019.2007499998</v>
      </c>
      <c r="W5" s="10">
        <f>SUM(V5)*2</f>
        <v>5340038.4014999997</v>
      </c>
      <c r="X5" s="10">
        <f>SUM(V5)*3</f>
        <v>8010057.6022499995</v>
      </c>
      <c r="Y5" s="10">
        <f t="shared" ref="Y5:Y31" si="1">SUM(U5)*12</f>
        <v>10680076.802999999</v>
      </c>
      <c r="Z5" s="10">
        <f>SUM(Z6:Z33)</f>
        <v>2834390.92</v>
      </c>
      <c r="AA5" s="10">
        <f>SUM(AA6:AA33)</f>
        <v>2819147.8099999996</v>
      </c>
      <c r="AB5" s="10">
        <f>SUM(AB6:AB33)</f>
        <v>2182805.0700000003</v>
      </c>
      <c r="AC5" s="10">
        <f>SUM(AC6:AC33)</f>
        <v>2359355.9399999995</v>
      </c>
      <c r="AD5" s="10">
        <f>SUM(Z5,AA5,AB5,AC5)</f>
        <v>10195699.739999998</v>
      </c>
    </row>
    <row r="6" spans="1:30" x14ac:dyDescent="0.25">
      <c r="A6" s="42" t="s">
        <v>30</v>
      </c>
      <c r="B6" s="41" t="s">
        <v>43</v>
      </c>
      <c r="C6" s="11">
        <v>7172.8</v>
      </c>
      <c r="D6" s="42">
        <v>0.79982356833051504</v>
      </c>
      <c r="E6" s="42">
        <f>SUM(U6)/(C6+I6+O6)</f>
        <v>0.83981474674704104</v>
      </c>
      <c r="F6" s="11">
        <f t="shared" ref="F6:F8" si="2">(E6-D6)/D6</f>
        <v>5.0000000000000308E-2</v>
      </c>
      <c r="G6" s="12">
        <f t="shared" ref="G6:G8" si="3">SUM(C6*E6)</f>
        <v>6023.8232154671759</v>
      </c>
      <c r="H6" s="41" t="s">
        <v>43</v>
      </c>
      <c r="I6" s="11">
        <v>879.2</v>
      </c>
      <c r="J6" s="42">
        <v>0.79982356833051504</v>
      </c>
      <c r="K6" s="42">
        <f>SUM(U6)/(C6+I6+O6)</f>
        <v>0.83981474674704104</v>
      </c>
      <c r="L6" s="11">
        <f t="shared" si="0"/>
        <v>5.0000000000000308E-2</v>
      </c>
      <c r="M6" s="12">
        <f t="shared" ref="M6:M31" si="4">SUM(I6*K6)</f>
        <v>738.36512533999849</v>
      </c>
      <c r="N6" s="41" t="s">
        <v>43</v>
      </c>
      <c r="O6" s="11">
        <v>2150.25</v>
      </c>
      <c r="P6" s="42">
        <v>0.79982356833051504</v>
      </c>
      <c r="Q6" s="42">
        <f>SUM(U6)/(C6+I6+O6)</f>
        <v>0.83981474674704104</v>
      </c>
      <c r="R6" s="11">
        <f t="shared" ref="R6:R8" si="5">(Q6-P6)/P6</f>
        <v>5.0000000000000308E-2</v>
      </c>
      <c r="S6" s="12">
        <f t="shared" ref="S6:S14" si="6">SUM(O6*Q6)</f>
        <v>1805.8116591928249</v>
      </c>
      <c r="T6" s="41">
        <f>SUM(Q6)*28.67</f>
        <v>24.07748878923767</v>
      </c>
      <c r="U6" s="41">
        <f>SUM(План!C22)</f>
        <v>8568</v>
      </c>
      <c r="V6" s="11">
        <f>SUM(U6)*3</f>
        <v>25704</v>
      </c>
      <c r="W6" s="41">
        <f>SUM(V6)*2</f>
        <v>51408</v>
      </c>
      <c r="X6" s="11">
        <f>SUM(V6)*3</f>
        <v>77112</v>
      </c>
      <c r="Y6" s="10">
        <f t="shared" si="1"/>
        <v>102816</v>
      </c>
      <c r="Z6" s="41">
        <v>8160</v>
      </c>
      <c r="AA6" s="41">
        <v>0</v>
      </c>
      <c r="AB6" s="41">
        <v>0</v>
      </c>
      <c r="AC6" s="41">
        <v>0</v>
      </c>
      <c r="AD6" s="11">
        <f>SUM(Z6,AA6,AB6,AC6)</f>
        <v>8160</v>
      </c>
    </row>
    <row r="7" spans="1:30" x14ac:dyDescent="0.25">
      <c r="A7" s="42" t="s">
        <v>24</v>
      </c>
      <c r="B7" s="41" t="s">
        <v>43</v>
      </c>
      <c r="C7" s="11">
        <v>7172.8</v>
      </c>
      <c r="D7" s="42">
        <v>0.14378004851870901</v>
      </c>
      <c r="E7" s="42">
        <f t="shared" ref="E7:E31" si="7">SUM(U7)/(C7+I7+O7)</f>
        <v>0.14378004851870912</v>
      </c>
      <c r="F7" s="11">
        <f t="shared" si="2"/>
        <v>7.7216765195394379E-16</v>
      </c>
      <c r="G7" s="12">
        <f t="shared" si="3"/>
        <v>1031.3055320149967</v>
      </c>
      <c r="H7" s="41" t="s">
        <v>43</v>
      </c>
      <c r="I7" s="11">
        <v>879.2</v>
      </c>
      <c r="J7" s="42">
        <v>0.14378004851870901</v>
      </c>
      <c r="K7" s="42">
        <f t="shared" ref="K7:K31" si="8">SUM(U7)/(C7+I7+O7)</f>
        <v>0.14378004851870912</v>
      </c>
      <c r="L7" s="11">
        <f t="shared" si="0"/>
        <v>7.7216765195394379E-16</v>
      </c>
      <c r="M7" s="12">
        <f t="shared" si="4"/>
        <v>126.41141865764907</v>
      </c>
      <c r="N7" s="41" t="s">
        <v>43</v>
      </c>
      <c r="O7" s="11">
        <v>2150.25</v>
      </c>
      <c r="P7" s="42">
        <v>0.14378004851870901</v>
      </c>
      <c r="Q7" s="42">
        <f t="shared" ref="Q7:Q31" si="9">SUM(U7)/(C7+I7+O7)</f>
        <v>0.14378004851870912</v>
      </c>
      <c r="R7" s="11">
        <f t="shared" si="5"/>
        <v>7.7216765195394379E-16</v>
      </c>
      <c r="S7" s="12">
        <f t="shared" si="6"/>
        <v>309.16304932735432</v>
      </c>
      <c r="T7" s="41">
        <f t="shared" ref="T7:T8" si="10">SUM(Q7)*28.67</f>
        <v>4.1221739910313913</v>
      </c>
      <c r="U7" s="41">
        <f>SUM(План!C23)</f>
        <v>1466.88</v>
      </c>
      <c r="V7" s="11">
        <f t="shared" ref="V7:V31" si="11">SUM(U7)*3</f>
        <v>4400.6400000000003</v>
      </c>
      <c r="W7" s="41">
        <f t="shared" ref="W7:W31" si="12">SUM(V7)*2</f>
        <v>8801.2800000000007</v>
      </c>
      <c r="X7" s="11">
        <f t="shared" ref="X7:X36" si="13">SUM(V7)*3</f>
        <v>13201.920000000002</v>
      </c>
      <c r="Y7" s="10">
        <f t="shared" si="1"/>
        <v>17602.560000000001</v>
      </c>
      <c r="Z7" s="41">
        <v>4298.25</v>
      </c>
      <c r="AA7" s="41">
        <v>4298.25</v>
      </c>
      <c r="AB7" s="41">
        <v>4584.87</v>
      </c>
      <c r="AC7" s="41">
        <v>4728.18</v>
      </c>
      <c r="AD7" s="11">
        <f t="shared" ref="AD7:AD33" si="14">SUM(Z7,AA7,AB7,AC7)</f>
        <v>17909.55</v>
      </c>
    </row>
    <row r="8" spans="1:30" x14ac:dyDescent="0.25">
      <c r="A8" s="35" t="s">
        <v>18</v>
      </c>
      <c r="B8" s="41" t="s">
        <v>43</v>
      </c>
      <c r="C8" s="11">
        <v>7172.8</v>
      </c>
      <c r="D8" s="42">
        <v>1.4702639123722701</v>
      </c>
      <c r="E8" s="42">
        <f t="shared" si="7"/>
        <v>1.6172903036094979</v>
      </c>
      <c r="F8" s="11">
        <f t="shared" si="2"/>
        <v>0.10000000000000056</v>
      </c>
      <c r="G8" s="12">
        <f t="shared" si="3"/>
        <v>11600.499889730207</v>
      </c>
      <c r="H8" s="41" t="s">
        <v>43</v>
      </c>
      <c r="I8" s="11">
        <v>879.2</v>
      </c>
      <c r="J8" s="42">
        <v>1.4702639123722701</v>
      </c>
      <c r="K8" s="42">
        <f t="shared" si="8"/>
        <v>1.6172903036094979</v>
      </c>
      <c r="L8" s="11">
        <f t="shared" si="0"/>
        <v>0.10000000000000056</v>
      </c>
      <c r="M8" s="12">
        <f t="shared" si="4"/>
        <v>1421.9216349334706</v>
      </c>
      <c r="N8" s="41" t="s">
        <v>43</v>
      </c>
      <c r="O8" s="11">
        <v>2150.25</v>
      </c>
      <c r="P8" s="42">
        <v>1.4702639123722701</v>
      </c>
      <c r="Q8" s="42">
        <f t="shared" si="9"/>
        <v>1.6172903036094979</v>
      </c>
      <c r="R8" s="11">
        <f t="shared" si="5"/>
        <v>0.10000000000000056</v>
      </c>
      <c r="S8" s="12">
        <f t="shared" si="6"/>
        <v>3477.5784753363228</v>
      </c>
      <c r="T8" s="41">
        <f t="shared" si="10"/>
        <v>46.367713004484308</v>
      </c>
      <c r="U8" s="41">
        <f>SUM(План!C24)</f>
        <v>16500</v>
      </c>
      <c r="V8" s="11">
        <f t="shared" si="11"/>
        <v>49500</v>
      </c>
      <c r="W8" s="41">
        <f t="shared" si="12"/>
        <v>99000</v>
      </c>
      <c r="X8" s="11">
        <f t="shared" si="13"/>
        <v>148500</v>
      </c>
      <c r="Y8" s="10">
        <f t="shared" si="1"/>
        <v>198000</v>
      </c>
      <c r="Z8" s="41">
        <v>45000</v>
      </c>
      <c r="AA8" s="41">
        <v>45000</v>
      </c>
      <c r="AB8" s="41">
        <v>45000</v>
      </c>
      <c r="AC8" s="41">
        <v>45000</v>
      </c>
      <c r="AD8" s="11">
        <f t="shared" si="14"/>
        <v>180000</v>
      </c>
    </row>
    <row r="9" spans="1:30" x14ac:dyDescent="0.25">
      <c r="A9" s="35" t="s">
        <v>22</v>
      </c>
      <c r="B9" s="41" t="s">
        <v>43</v>
      </c>
      <c r="C9" s="11">
        <v>7172.8</v>
      </c>
      <c r="D9" s="42">
        <v>1.1941630522678801</v>
      </c>
      <c r="E9" s="42">
        <f t="shared" si="7"/>
        <v>1.2187870322722929</v>
      </c>
      <c r="F9" s="11">
        <f t="shared" ref="F9:F31" si="15">(E9-D9)/D9</f>
        <v>2.0620282931755812E-2</v>
      </c>
      <c r="G9" s="12">
        <f t="shared" ref="G9:G31" si="16">SUM(C9*E9)</f>
        <v>8742.1156250827025</v>
      </c>
      <c r="H9" s="41" t="s">
        <v>43</v>
      </c>
      <c r="I9" s="11">
        <v>879.2</v>
      </c>
      <c r="J9" s="42">
        <v>1.1941630522678801</v>
      </c>
      <c r="K9" s="42">
        <f t="shared" si="8"/>
        <v>1.2187870322722929</v>
      </c>
      <c r="L9" s="11">
        <f t="shared" si="0"/>
        <v>2.0620282931755812E-2</v>
      </c>
      <c r="M9" s="12">
        <f t="shared" si="4"/>
        <v>1071.5575587737999</v>
      </c>
      <c r="N9" s="41" t="s">
        <v>43</v>
      </c>
      <c r="O9" s="11">
        <v>2150.25</v>
      </c>
      <c r="P9" s="42">
        <v>1.1941630522678801</v>
      </c>
      <c r="Q9" s="42">
        <f t="shared" si="9"/>
        <v>1.2187870322722929</v>
      </c>
      <c r="R9" s="11">
        <f t="shared" ref="R9:R15" si="17">(Q9-P9)/P9</f>
        <v>2.0620282931755812E-2</v>
      </c>
      <c r="S9" s="12">
        <f t="shared" si="6"/>
        <v>2620.6968161434979</v>
      </c>
      <c r="T9" s="41">
        <f t="shared" ref="T9:T15" si="18">SUM(Q9)*28.67</f>
        <v>34.942624215246639</v>
      </c>
      <c r="U9" s="41">
        <f>SUM(План!C25)</f>
        <v>12434.37</v>
      </c>
      <c r="V9" s="11">
        <f t="shared" si="11"/>
        <v>37303.11</v>
      </c>
      <c r="W9" s="41">
        <f t="shared" si="12"/>
        <v>74606.22</v>
      </c>
      <c r="X9" s="11">
        <f t="shared" si="13"/>
        <v>111909.33</v>
      </c>
      <c r="Y9" s="10">
        <f t="shared" si="1"/>
        <v>149212.44</v>
      </c>
      <c r="Z9" s="41">
        <v>39062.519999999997</v>
      </c>
      <c r="AA9" s="41">
        <v>39062.519999999997</v>
      </c>
      <c r="AB9" s="41">
        <v>55468.84</v>
      </c>
      <c r="AC9" s="41">
        <v>44140.74</v>
      </c>
      <c r="AD9" s="11">
        <f t="shared" si="14"/>
        <v>177734.62</v>
      </c>
    </row>
    <row r="10" spans="1:30" ht="30" x14ac:dyDescent="0.25">
      <c r="A10" s="35" t="s">
        <v>56</v>
      </c>
      <c r="B10" s="41" t="s">
        <v>43</v>
      </c>
      <c r="C10" s="11">
        <v>7172.8</v>
      </c>
      <c r="D10" s="42">
        <v>13.1998412114974</v>
      </c>
      <c r="E10" s="42">
        <f t="shared" si="7"/>
        <v>14.783814027951349</v>
      </c>
      <c r="F10" s="11">
        <f t="shared" si="15"/>
        <v>0.11999938416488436</v>
      </c>
      <c r="G10" s="12">
        <f t="shared" si="16"/>
        <v>106041.34125968943</v>
      </c>
      <c r="H10" s="41" t="s">
        <v>43</v>
      </c>
      <c r="I10" s="11">
        <v>879.2</v>
      </c>
      <c r="J10" s="42">
        <v>13.1998412114974</v>
      </c>
      <c r="K10" s="42">
        <f t="shared" si="8"/>
        <v>14.783814027951349</v>
      </c>
      <c r="L10" s="11">
        <f t="shared" si="0"/>
        <v>0.11999938416488436</v>
      </c>
      <c r="M10" s="12">
        <f t="shared" si="4"/>
        <v>12997.929293374827</v>
      </c>
      <c r="N10" s="41" t="s">
        <v>43</v>
      </c>
      <c r="O10" s="11">
        <v>2150.25</v>
      </c>
      <c r="P10" s="42">
        <v>13.1998412114974</v>
      </c>
      <c r="Q10" s="42">
        <f t="shared" si="9"/>
        <v>14.783814027951349</v>
      </c>
      <c r="R10" s="11">
        <f t="shared" si="17"/>
        <v>0.11999938416488436</v>
      </c>
      <c r="S10" s="12">
        <f t="shared" si="6"/>
        <v>31788.89611360239</v>
      </c>
      <c r="T10" s="41">
        <f t="shared" si="18"/>
        <v>423.85194818136523</v>
      </c>
      <c r="U10" s="41">
        <f>SUM(План!C8)</f>
        <v>150828.16666666666</v>
      </c>
      <c r="V10" s="11">
        <f t="shared" si="11"/>
        <v>452484.5</v>
      </c>
      <c r="W10" s="41">
        <f t="shared" si="12"/>
        <v>904969</v>
      </c>
      <c r="X10" s="11">
        <f t="shared" si="13"/>
        <v>1357453.5</v>
      </c>
      <c r="Y10" s="10">
        <f t="shared" si="1"/>
        <v>1809938</v>
      </c>
      <c r="Z10" s="41">
        <v>458407.44</v>
      </c>
      <c r="AA10" s="41">
        <v>417678</v>
      </c>
      <c r="AB10" s="41">
        <v>417678</v>
      </c>
      <c r="AC10" s="41">
        <v>417678</v>
      </c>
      <c r="AD10" s="11">
        <f t="shared" si="14"/>
        <v>1711441.44</v>
      </c>
    </row>
    <row r="11" spans="1:30" ht="30" x14ac:dyDescent="0.25">
      <c r="A11" s="35" t="s">
        <v>12</v>
      </c>
      <c r="B11" s="41" t="s">
        <v>43</v>
      </c>
      <c r="C11" s="11">
        <v>7172.8</v>
      </c>
      <c r="D11" s="42">
        <v>10.5337303045896</v>
      </c>
      <c r="E11" s="42">
        <f t="shared" si="7"/>
        <v>11.797712105989691</v>
      </c>
      <c r="F11" s="11">
        <f t="shared" si="15"/>
        <v>0.11999375006301112</v>
      </c>
      <c r="G11" s="12">
        <f t="shared" si="16"/>
        <v>84622.629393842857</v>
      </c>
      <c r="H11" s="41" t="s">
        <v>43</v>
      </c>
      <c r="I11" s="11">
        <v>879.2</v>
      </c>
      <c r="J11" s="42">
        <v>10.5337303045896</v>
      </c>
      <c r="K11" s="42">
        <f t="shared" si="8"/>
        <v>11.797712105989691</v>
      </c>
      <c r="L11" s="11">
        <f t="shared" si="0"/>
        <v>0.11999375006301112</v>
      </c>
      <c r="M11" s="12">
        <f t="shared" si="4"/>
        <v>10372.548483586137</v>
      </c>
      <c r="N11" s="41" t="s">
        <v>43</v>
      </c>
      <c r="O11" s="11">
        <v>2150.25</v>
      </c>
      <c r="P11" s="42">
        <v>10.5337303045896</v>
      </c>
      <c r="Q11" s="42">
        <f t="shared" si="9"/>
        <v>11.797712105989691</v>
      </c>
      <c r="R11" s="11">
        <f t="shared" si="17"/>
        <v>0.11999375006301112</v>
      </c>
      <c r="S11" s="12">
        <f t="shared" si="6"/>
        <v>25368.030455904332</v>
      </c>
      <c r="T11" s="41">
        <f t="shared" si="18"/>
        <v>338.24040607872445</v>
      </c>
      <c r="U11" s="41">
        <f>SUM(План!C26)</f>
        <v>120363.20833333333</v>
      </c>
      <c r="V11" s="11">
        <f t="shared" si="11"/>
        <v>361089.625</v>
      </c>
      <c r="W11" s="41">
        <f t="shared" si="12"/>
        <v>722179.25</v>
      </c>
      <c r="X11" s="11">
        <f t="shared" si="13"/>
        <v>1083268.875</v>
      </c>
      <c r="Y11" s="10">
        <f t="shared" si="1"/>
        <v>1444358.5</v>
      </c>
      <c r="Z11" s="41">
        <v>336532.08</v>
      </c>
      <c r="AA11" s="41">
        <v>334393.14</v>
      </c>
      <c r="AB11" s="41">
        <v>335458.40000000002</v>
      </c>
      <c r="AC11" s="41">
        <v>393215</v>
      </c>
      <c r="AD11" s="11">
        <f t="shared" si="14"/>
        <v>1399598.62</v>
      </c>
    </row>
    <row r="12" spans="1:30" x14ac:dyDescent="0.25">
      <c r="A12" s="35" t="s">
        <v>58</v>
      </c>
      <c r="B12" s="41" t="s">
        <v>43</v>
      </c>
      <c r="C12" s="11">
        <v>7172.8</v>
      </c>
      <c r="D12" s="42">
        <v>0.81272954495331917</v>
      </c>
      <c r="E12" s="42">
        <f t="shared" si="7"/>
        <v>0.82334779092847166</v>
      </c>
      <c r="F12" s="11">
        <f t="shared" si="15"/>
        <v>1.3064919370886616E-2</v>
      </c>
      <c r="G12" s="12">
        <f t="shared" si="16"/>
        <v>5905.7090347717412</v>
      </c>
      <c r="H12" s="41" t="s">
        <v>43</v>
      </c>
      <c r="I12" s="11">
        <v>879.2</v>
      </c>
      <c r="J12" s="42">
        <v>0.81272954495331917</v>
      </c>
      <c r="K12" s="42">
        <f t="shared" si="8"/>
        <v>0.82334779092847166</v>
      </c>
      <c r="L12" s="11">
        <f t="shared" si="0"/>
        <v>1.3064919370886616E-2</v>
      </c>
      <c r="M12" s="12">
        <f t="shared" si="4"/>
        <v>723.88737778431232</v>
      </c>
      <c r="N12" s="41" t="s">
        <v>43</v>
      </c>
      <c r="O12" s="11">
        <v>2150.25</v>
      </c>
      <c r="P12" s="42">
        <v>0.81272954495331917</v>
      </c>
      <c r="Q12" s="42">
        <f t="shared" si="9"/>
        <v>0.82334779092847166</v>
      </c>
      <c r="R12" s="11">
        <f t="shared" si="17"/>
        <v>1.3064919370886616E-2</v>
      </c>
      <c r="S12" s="12">
        <f t="shared" si="6"/>
        <v>1770.4035874439462</v>
      </c>
      <c r="T12" s="41">
        <f t="shared" si="18"/>
        <v>23.605381165919283</v>
      </c>
      <c r="U12" s="41">
        <f>SUM(План!C9)</f>
        <v>8400</v>
      </c>
      <c r="V12" s="11">
        <f t="shared" si="11"/>
        <v>25200</v>
      </c>
      <c r="W12" s="41">
        <f t="shared" si="12"/>
        <v>50400</v>
      </c>
      <c r="X12" s="11">
        <f t="shared" si="13"/>
        <v>75600</v>
      </c>
      <c r="Y12" s="10">
        <f t="shared" si="1"/>
        <v>100800</v>
      </c>
      <c r="Z12" s="41">
        <v>30000</v>
      </c>
      <c r="AA12" s="41">
        <v>22000</v>
      </c>
      <c r="AB12" s="41">
        <v>24295</v>
      </c>
      <c r="AC12" s="41">
        <v>32000</v>
      </c>
      <c r="AD12" s="11">
        <f t="shared" si="14"/>
        <v>108295</v>
      </c>
    </row>
    <row r="13" spans="1:30" ht="30" x14ac:dyDescent="0.25">
      <c r="A13" s="35" t="s">
        <v>5</v>
      </c>
      <c r="B13" s="41" t="s">
        <v>43</v>
      </c>
      <c r="C13" s="11">
        <v>7172.8</v>
      </c>
      <c r="D13" s="42">
        <v>7.3513195618613497E-2</v>
      </c>
      <c r="E13" s="42">
        <f t="shared" si="7"/>
        <v>7.3513195618613539E-2</v>
      </c>
      <c r="F13" s="11">
        <f t="shared" si="15"/>
        <v>5.6633864264910053E-16</v>
      </c>
      <c r="G13" s="12">
        <f t="shared" si="16"/>
        <v>527.29544953319123</v>
      </c>
      <c r="H13" s="41" t="s">
        <v>43</v>
      </c>
      <c r="I13" s="11">
        <v>879.2</v>
      </c>
      <c r="J13" s="42">
        <v>7.3513195618613497E-2</v>
      </c>
      <c r="K13" s="42">
        <f t="shared" si="8"/>
        <v>7.3513195618613539E-2</v>
      </c>
      <c r="L13" s="11">
        <f t="shared" si="0"/>
        <v>5.6633864264910053E-16</v>
      </c>
      <c r="M13" s="12">
        <f t="shared" si="4"/>
        <v>64.632801587885027</v>
      </c>
      <c r="N13" s="41" t="s">
        <v>43</v>
      </c>
      <c r="O13" s="11">
        <v>2150.25</v>
      </c>
      <c r="P13" s="42">
        <v>7.3513195618613497E-2</v>
      </c>
      <c r="Q13" s="42">
        <f t="shared" si="9"/>
        <v>7.3513195618613539E-2</v>
      </c>
      <c r="R13" s="11">
        <f t="shared" si="17"/>
        <v>5.6633864264910053E-16</v>
      </c>
      <c r="S13" s="12">
        <f t="shared" si="6"/>
        <v>158.07174887892376</v>
      </c>
      <c r="T13" s="41">
        <f t="shared" si="18"/>
        <v>2.1076233183856501</v>
      </c>
      <c r="U13" s="41">
        <f>SUM(План!C10)</f>
        <v>750</v>
      </c>
      <c r="V13" s="11">
        <f t="shared" si="11"/>
        <v>2250</v>
      </c>
      <c r="W13" s="41">
        <f t="shared" si="12"/>
        <v>4500</v>
      </c>
      <c r="X13" s="11">
        <f t="shared" si="13"/>
        <v>6750</v>
      </c>
      <c r="Y13" s="10">
        <f t="shared" si="1"/>
        <v>9000</v>
      </c>
      <c r="Z13" s="41">
        <v>119.66</v>
      </c>
      <c r="AA13" s="41">
        <v>2642.58</v>
      </c>
      <c r="AB13" s="41">
        <v>1785.97</v>
      </c>
      <c r="AC13" s="41">
        <v>79.8</v>
      </c>
      <c r="AD13" s="11">
        <f t="shared" si="14"/>
        <v>4628.01</v>
      </c>
    </row>
    <row r="14" spans="1:30" ht="30" x14ac:dyDescent="0.25">
      <c r="A14" s="35" t="s">
        <v>50</v>
      </c>
      <c r="B14" s="41" t="s">
        <v>43</v>
      </c>
      <c r="C14" s="11">
        <v>7172.8</v>
      </c>
      <c r="D14" s="42">
        <v>0.68612315910705901</v>
      </c>
      <c r="E14" s="42">
        <f t="shared" si="7"/>
        <v>0.51459236933029484</v>
      </c>
      <c r="F14" s="11">
        <f t="shared" si="15"/>
        <v>-0.24999999999999914</v>
      </c>
      <c r="G14" s="13">
        <f t="shared" si="16"/>
        <v>3691.0681467323388</v>
      </c>
      <c r="H14" s="41" t="s">
        <v>43</v>
      </c>
      <c r="I14" s="11">
        <v>879.2</v>
      </c>
      <c r="J14" s="42">
        <v>0.68612315910705901</v>
      </c>
      <c r="K14" s="42">
        <f t="shared" si="8"/>
        <v>0.51459236933029484</v>
      </c>
      <c r="L14" s="11">
        <f t="shared" si="0"/>
        <v>-0.24999999999999914</v>
      </c>
      <c r="M14" s="12">
        <f t="shared" si="4"/>
        <v>452.42961111519526</v>
      </c>
      <c r="N14" s="41" t="s">
        <v>43</v>
      </c>
      <c r="O14" s="11">
        <v>2150.25</v>
      </c>
      <c r="P14" s="42">
        <v>0.68612315910705901</v>
      </c>
      <c r="Q14" s="42">
        <f t="shared" si="9"/>
        <v>0.51459236933029484</v>
      </c>
      <c r="R14" s="11">
        <f t="shared" si="17"/>
        <v>-0.24999999999999914</v>
      </c>
      <c r="S14" s="12">
        <f t="shared" si="6"/>
        <v>1106.5022421524666</v>
      </c>
      <c r="T14" s="41">
        <f t="shared" si="18"/>
        <v>14.753363228699554</v>
      </c>
      <c r="U14" s="41">
        <f>SUM(План!C27)</f>
        <v>5250</v>
      </c>
      <c r="V14" s="11">
        <f t="shared" si="11"/>
        <v>15750</v>
      </c>
      <c r="W14" s="41">
        <f t="shared" si="12"/>
        <v>31500</v>
      </c>
      <c r="X14" s="11">
        <f t="shared" si="13"/>
        <v>47250</v>
      </c>
      <c r="Y14" s="10">
        <f t="shared" si="1"/>
        <v>63000</v>
      </c>
      <c r="Z14" s="41">
        <v>0</v>
      </c>
      <c r="AA14" s="41">
        <v>66480.639999999999</v>
      </c>
      <c r="AB14" s="41">
        <v>1921</v>
      </c>
      <c r="AC14" s="41">
        <v>10008</v>
      </c>
      <c r="AD14" s="11">
        <f t="shared" si="14"/>
        <v>78409.64</v>
      </c>
    </row>
    <row r="15" spans="1:30" x14ac:dyDescent="0.25">
      <c r="A15" s="35" t="s">
        <v>81</v>
      </c>
      <c r="B15" s="41" t="s">
        <v>43</v>
      </c>
      <c r="C15" s="11">
        <v>7172.8</v>
      </c>
      <c r="D15" s="42">
        <v>0.49008797079075694</v>
      </c>
      <c r="E15" s="42">
        <f t="shared" si="7"/>
        <v>0</v>
      </c>
      <c r="F15" s="11">
        <f t="shared" si="15"/>
        <v>-1</v>
      </c>
      <c r="G15" s="13">
        <f t="shared" si="16"/>
        <v>0</v>
      </c>
      <c r="H15" s="41" t="s">
        <v>43</v>
      </c>
      <c r="I15" s="11">
        <v>879.2</v>
      </c>
      <c r="J15" s="42">
        <v>0.49008797079075694</v>
      </c>
      <c r="K15" s="42">
        <f t="shared" si="8"/>
        <v>0</v>
      </c>
      <c r="L15" s="11">
        <f t="shared" si="0"/>
        <v>-1</v>
      </c>
      <c r="M15" s="12">
        <f t="shared" si="4"/>
        <v>0</v>
      </c>
      <c r="N15" s="41" t="s">
        <v>43</v>
      </c>
      <c r="O15" s="11">
        <v>2150.25</v>
      </c>
      <c r="P15" s="42">
        <v>0.49008797079075694</v>
      </c>
      <c r="Q15" s="42">
        <f t="shared" si="9"/>
        <v>0</v>
      </c>
      <c r="R15" s="11">
        <f t="shared" si="17"/>
        <v>-1</v>
      </c>
      <c r="S15" s="12">
        <f t="shared" ref="S15" si="19">SUM(O15*Q15)</f>
        <v>0</v>
      </c>
      <c r="T15" s="41">
        <f t="shared" si="18"/>
        <v>0</v>
      </c>
      <c r="U15" s="41">
        <f>SUM(План!C28)</f>
        <v>0</v>
      </c>
      <c r="V15" s="11">
        <f t="shared" si="11"/>
        <v>0</v>
      </c>
      <c r="W15" s="41">
        <f t="shared" si="12"/>
        <v>0</v>
      </c>
      <c r="X15" s="11">
        <f t="shared" si="13"/>
        <v>0</v>
      </c>
      <c r="Y15" s="10">
        <f t="shared" si="1"/>
        <v>0</v>
      </c>
      <c r="Z15" s="41">
        <v>0</v>
      </c>
      <c r="AA15" s="41">
        <v>0</v>
      </c>
      <c r="AB15" s="41">
        <v>0</v>
      </c>
      <c r="AC15" s="41">
        <v>0</v>
      </c>
      <c r="AD15" s="11">
        <f t="shared" si="14"/>
        <v>0</v>
      </c>
    </row>
    <row r="16" spans="1:30" x14ac:dyDescent="0.25">
      <c r="A16" s="35" t="s">
        <v>64</v>
      </c>
      <c r="B16" s="41" t="s">
        <v>43</v>
      </c>
      <c r="C16" s="11">
        <v>7172.8</v>
      </c>
      <c r="D16" s="42">
        <v>2.3286140089418779</v>
      </c>
      <c r="E16" s="42">
        <f>SUM(U16)/(C16+I16)</f>
        <v>2.3286140089418779</v>
      </c>
      <c r="F16" s="11">
        <f t="shared" si="15"/>
        <v>0</v>
      </c>
      <c r="G16" s="13">
        <f t="shared" si="16"/>
        <v>16702.682563338301</v>
      </c>
      <c r="H16" s="41" t="s">
        <v>43</v>
      </c>
      <c r="I16" s="11">
        <v>879.2</v>
      </c>
      <c r="J16" s="42">
        <v>2.3286140089418779</v>
      </c>
      <c r="K16" s="42">
        <f>SUM(U16)/(C16+I16)</f>
        <v>2.3286140089418779</v>
      </c>
      <c r="L16" s="11">
        <f t="shared" si="0"/>
        <v>0</v>
      </c>
      <c r="M16" s="13">
        <f t="shared" si="4"/>
        <v>2047.317436661699</v>
      </c>
      <c r="N16" s="41" t="s">
        <v>43</v>
      </c>
      <c r="O16" s="11">
        <v>2150.25</v>
      </c>
      <c r="P16" s="42"/>
      <c r="Q16" s="42"/>
      <c r="R16" s="11"/>
      <c r="S16" s="13"/>
      <c r="T16" s="41"/>
      <c r="U16" s="41">
        <f>SUM(План!C29)</f>
        <v>18750</v>
      </c>
      <c r="V16" s="11">
        <f t="shared" si="11"/>
        <v>56250</v>
      </c>
      <c r="W16" s="41">
        <f t="shared" si="12"/>
        <v>112500</v>
      </c>
      <c r="X16" s="11">
        <f t="shared" si="13"/>
        <v>168750</v>
      </c>
      <c r="Y16" s="10">
        <f t="shared" si="1"/>
        <v>225000</v>
      </c>
      <c r="Z16" s="41">
        <v>82182.600000000006</v>
      </c>
      <c r="AA16" s="41">
        <v>32410.75</v>
      </c>
      <c r="AB16" s="41">
        <v>32564</v>
      </c>
      <c r="AC16" s="41">
        <v>20532.419999999998</v>
      </c>
      <c r="AD16" s="11">
        <f t="shared" si="14"/>
        <v>167689.77000000002</v>
      </c>
    </row>
    <row r="17" spans="1:30" x14ac:dyDescent="0.25">
      <c r="A17" s="35" t="s">
        <v>47</v>
      </c>
      <c r="B17" s="41" t="s">
        <v>43</v>
      </c>
      <c r="C17" s="11">
        <v>7172.8</v>
      </c>
      <c r="D17" s="42">
        <v>3.9863520301894102</v>
      </c>
      <c r="E17" s="42">
        <f t="shared" si="7"/>
        <v>4.4647118364413076</v>
      </c>
      <c r="F17" s="11">
        <f t="shared" si="15"/>
        <v>0.11999938857110126</v>
      </c>
      <c r="G17" s="12">
        <f t="shared" si="16"/>
        <v>32024.485060426214</v>
      </c>
      <c r="H17" s="41" t="s">
        <v>43</v>
      </c>
      <c r="I17" s="11">
        <v>879.2</v>
      </c>
      <c r="J17" s="42">
        <v>3.9863520301894102</v>
      </c>
      <c r="K17" s="42">
        <f t="shared" si="8"/>
        <v>4.4647118364413076</v>
      </c>
      <c r="L17" s="11">
        <f t="shared" si="0"/>
        <v>0.11999938857110126</v>
      </c>
      <c r="M17" s="12">
        <f t="shared" si="4"/>
        <v>3925.3746465991981</v>
      </c>
      <c r="N17" s="41" t="s">
        <v>43</v>
      </c>
      <c r="O17" s="11">
        <v>2150.25</v>
      </c>
      <c r="P17" s="42">
        <v>3.9863520301894102</v>
      </c>
      <c r="Q17" s="42">
        <f t="shared" si="9"/>
        <v>4.4647118364413076</v>
      </c>
      <c r="R17" s="11">
        <f t="shared" ref="R17:R28" si="20">(Q17-P17)/P17</f>
        <v>0.11999938857110126</v>
      </c>
      <c r="S17" s="12">
        <f t="shared" ref="S17:S23" si="21">SUM(O17*Q17)</f>
        <v>9600.2466263079223</v>
      </c>
      <c r="T17" s="41">
        <f t="shared" ref="T17:T28" si="22">SUM(Q17)*28.67</f>
        <v>128.00328835077229</v>
      </c>
      <c r="U17" s="41">
        <f>SUM(План!C11)</f>
        <v>45550.10633333333</v>
      </c>
      <c r="V17" s="11">
        <f t="shared" si="11"/>
        <v>136650.31899999999</v>
      </c>
      <c r="W17" s="41">
        <f t="shared" si="12"/>
        <v>273300.63799999998</v>
      </c>
      <c r="X17" s="11">
        <f t="shared" si="13"/>
        <v>409950.95699999994</v>
      </c>
      <c r="Y17" s="10">
        <f t="shared" si="1"/>
        <v>546601.27599999995</v>
      </c>
      <c r="Z17" s="41">
        <v>134416.37</v>
      </c>
      <c r="AA17" s="41">
        <v>122116.05</v>
      </c>
      <c r="AB17" s="41">
        <v>126138.76</v>
      </c>
      <c r="AC17" s="41">
        <v>126138.75</v>
      </c>
      <c r="AD17" s="11">
        <f t="shared" si="14"/>
        <v>508809.93</v>
      </c>
    </row>
    <row r="18" spans="1:30" ht="30" x14ac:dyDescent="0.25">
      <c r="A18" s="35" t="s">
        <v>48</v>
      </c>
      <c r="B18" s="41" t="s">
        <v>43</v>
      </c>
      <c r="C18" s="11">
        <v>7172.8</v>
      </c>
      <c r="D18" s="42">
        <v>3.1811865029772801</v>
      </c>
      <c r="E18" s="42">
        <f t="shared" si="7"/>
        <v>3.5629090560088867</v>
      </c>
      <c r="F18" s="11">
        <f t="shared" si="15"/>
        <v>0.11999376731743064</v>
      </c>
      <c r="G18" s="12">
        <f t="shared" si="16"/>
        <v>25556.034076940545</v>
      </c>
      <c r="H18" s="41" t="s">
        <v>43</v>
      </c>
      <c r="I18" s="11">
        <v>879.2</v>
      </c>
      <c r="J18" s="42">
        <v>3.1811865029772801</v>
      </c>
      <c r="K18" s="42">
        <f t="shared" si="8"/>
        <v>3.5629090560088867</v>
      </c>
      <c r="L18" s="11">
        <f t="shared" si="0"/>
        <v>0.11999376731743064</v>
      </c>
      <c r="M18" s="12">
        <f t="shared" si="4"/>
        <v>3132.5096420430132</v>
      </c>
      <c r="N18" s="41" t="s">
        <v>43</v>
      </c>
      <c r="O18" s="11">
        <v>2150.25</v>
      </c>
      <c r="P18" s="42">
        <v>3.1811865029772801</v>
      </c>
      <c r="Q18" s="42">
        <f t="shared" si="9"/>
        <v>3.5629090560088867</v>
      </c>
      <c r="R18" s="11">
        <f t="shared" si="20"/>
        <v>0.11999376731743064</v>
      </c>
      <c r="S18" s="12">
        <f t="shared" si="21"/>
        <v>7661.1451976831086</v>
      </c>
      <c r="T18" s="41">
        <f t="shared" si="22"/>
        <v>102.14860263577479</v>
      </c>
      <c r="U18" s="41">
        <f>SUM(План!C30)</f>
        <v>36349.688916666666</v>
      </c>
      <c r="V18" s="11">
        <f t="shared" si="11"/>
        <v>109049.06675</v>
      </c>
      <c r="W18" s="41">
        <f t="shared" si="12"/>
        <v>218098.1335</v>
      </c>
      <c r="X18" s="11">
        <f t="shared" si="13"/>
        <v>327147.20024999999</v>
      </c>
      <c r="Y18" s="10">
        <f t="shared" si="1"/>
        <v>436196.26699999999</v>
      </c>
      <c r="Z18" s="41">
        <v>97948.7</v>
      </c>
      <c r="AA18" s="41">
        <v>97192.12</v>
      </c>
      <c r="AB18" s="41">
        <v>87018.27</v>
      </c>
      <c r="AC18" s="41">
        <v>63802.35</v>
      </c>
      <c r="AD18" s="11">
        <f t="shared" si="14"/>
        <v>345961.44</v>
      </c>
    </row>
    <row r="19" spans="1:30" x14ac:dyDescent="0.25">
      <c r="A19" s="35" t="s">
        <v>20</v>
      </c>
      <c r="B19" s="41" t="s">
        <v>43</v>
      </c>
      <c r="C19" s="11">
        <v>7172.8</v>
      </c>
      <c r="D19" s="42">
        <v>13.1235361365157</v>
      </c>
      <c r="E19" s="42">
        <f>SUM((S19)*81.5%)/C19</f>
        <v>11.419180794111085</v>
      </c>
      <c r="F19" s="11">
        <f t="shared" si="15"/>
        <v>-0.12987012987012822</v>
      </c>
      <c r="G19" s="12">
        <f t="shared" si="16"/>
        <v>81907.5</v>
      </c>
      <c r="H19" s="41" t="s">
        <v>43</v>
      </c>
      <c r="I19" s="11">
        <v>879.2</v>
      </c>
      <c r="J19" s="42">
        <v>24.3033439490445</v>
      </c>
      <c r="K19" s="42">
        <f>SUM((S19)*18.5%)/I19</f>
        <v>21.14706551410373</v>
      </c>
      <c r="L19" s="11">
        <f t="shared" si="0"/>
        <v>-0.12987012987012683</v>
      </c>
      <c r="M19" s="12">
        <f t="shared" si="4"/>
        <v>18592.5</v>
      </c>
      <c r="N19" s="41" t="s">
        <v>43</v>
      </c>
      <c r="O19" s="11">
        <v>2150.25</v>
      </c>
      <c r="P19" s="42">
        <v>53.714684339030299</v>
      </c>
      <c r="Q19" s="42">
        <f>SUM(U19/2)/O19</f>
        <v>46.738751307987442</v>
      </c>
      <c r="R19" s="11">
        <f t="shared" si="20"/>
        <v>-0.12987012987012914</v>
      </c>
      <c r="S19" s="12">
        <f>SUM(O19*Q19)</f>
        <v>100500</v>
      </c>
      <c r="T19" s="41">
        <f t="shared" si="22"/>
        <v>1340</v>
      </c>
      <c r="U19" s="41">
        <f>SUM(План!C31)</f>
        <v>201000</v>
      </c>
      <c r="V19" s="11">
        <f t="shared" si="11"/>
        <v>603000</v>
      </c>
      <c r="W19" s="41">
        <f t="shared" si="12"/>
        <v>1206000</v>
      </c>
      <c r="X19" s="11">
        <f t="shared" si="13"/>
        <v>1809000</v>
      </c>
      <c r="Y19" s="10">
        <f t="shared" si="1"/>
        <v>2412000</v>
      </c>
      <c r="Z19" s="41">
        <v>558000</v>
      </c>
      <c r="AA19" s="41">
        <v>648000</v>
      </c>
      <c r="AB19" s="41">
        <v>673920</v>
      </c>
      <c r="AC19" s="41">
        <v>623280</v>
      </c>
      <c r="AD19" s="11">
        <f t="shared" si="14"/>
        <v>2503200</v>
      </c>
    </row>
    <row r="20" spans="1:30" x14ac:dyDescent="0.25">
      <c r="A20" s="35" t="s">
        <v>9</v>
      </c>
      <c r="B20" s="41" t="s">
        <v>43</v>
      </c>
      <c r="C20" s="11">
        <v>7172.8</v>
      </c>
      <c r="D20" s="42">
        <v>0.17561518292533509</v>
      </c>
      <c r="E20" s="42">
        <f t="shared" si="7"/>
        <v>8.576539488838246E-2</v>
      </c>
      <c r="F20" s="11">
        <f t="shared" si="15"/>
        <v>-0.51162881557429662</v>
      </c>
      <c r="G20" s="12">
        <f t="shared" si="16"/>
        <v>615.17802445538973</v>
      </c>
      <c r="H20" s="41" t="s">
        <v>43</v>
      </c>
      <c r="I20" s="11">
        <v>879.2</v>
      </c>
      <c r="J20" s="42">
        <v>0.17561518292533509</v>
      </c>
      <c r="K20" s="42">
        <f t="shared" si="8"/>
        <v>8.576539488838246E-2</v>
      </c>
      <c r="L20" s="11">
        <f t="shared" si="0"/>
        <v>-0.51162881557429662</v>
      </c>
      <c r="M20" s="12">
        <f t="shared" si="4"/>
        <v>75.404935185865867</v>
      </c>
      <c r="N20" s="41" t="s">
        <v>43</v>
      </c>
      <c r="O20" s="11">
        <v>2150.25</v>
      </c>
      <c r="P20" s="42">
        <v>0.17561518292533509</v>
      </c>
      <c r="Q20" s="42">
        <f t="shared" si="9"/>
        <v>8.576539488838246E-2</v>
      </c>
      <c r="R20" s="11">
        <f t="shared" si="20"/>
        <v>-0.51162881557429662</v>
      </c>
      <c r="S20" s="12">
        <f t="shared" si="21"/>
        <v>184.41704035874437</v>
      </c>
      <c r="T20" s="41">
        <f t="shared" si="22"/>
        <v>2.4588938714499253</v>
      </c>
      <c r="U20" s="41">
        <f>SUM(План!C12)</f>
        <v>875</v>
      </c>
      <c r="V20" s="11">
        <f t="shared" si="11"/>
        <v>2625</v>
      </c>
      <c r="W20" s="41">
        <f t="shared" si="12"/>
        <v>5250</v>
      </c>
      <c r="X20" s="11">
        <f t="shared" si="13"/>
        <v>7875</v>
      </c>
      <c r="Y20" s="10">
        <f t="shared" si="1"/>
        <v>10500</v>
      </c>
      <c r="Z20" s="41">
        <v>0</v>
      </c>
      <c r="AA20" s="41">
        <v>0</v>
      </c>
      <c r="AB20" s="41">
        <v>0</v>
      </c>
      <c r="AC20" s="41">
        <v>3900</v>
      </c>
      <c r="AD20" s="11">
        <f t="shared" si="14"/>
        <v>3900</v>
      </c>
    </row>
    <row r="21" spans="1:30" x14ac:dyDescent="0.25">
      <c r="A21" s="35" t="s">
        <v>10</v>
      </c>
      <c r="B21" s="41" t="s">
        <v>43</v>
      </c>
      <c r="C21" s="11">
        <v>7172.8</v>
      </c>
      <c r="D21" s="42">
        <v>0.39207037663260558</v>
      </c>
      <c r="E21" s="42">
        <f t="shared" si="7"/>
        <v>1.6172903036094979</v>
      </c>
      <c r="F21" s="11">
        <f t="shared" si="15"/>
        <v>3.1249999999999996</v>
      </c>
      <c r="G21" s="12">
        <f t="shared" si="16"/>
        <v>11600.499889730207</v>
      </c>
      <c r="H21" s="41" t="s">
        <v>43</v>
      </c>
      <c r="I21" s="11">
        <v>879.2</v>
      </c>
      <c r="J21" s="42">
        <v>0.39207037663260558</v>
      </c>
      <c r="K21" s="42">
        <f t="shared" si="8"/>
        <v>1.6172903036094979</v>
      </c>
      <c r="L21" s="11">
        <f t="shared" si="0"/>
        <v>3.1249999999999996</v>
      </c>
      <c r="M21" s="12">
        <f t="shared" si="4"/>
        <v>1421.9216349334706</v>
      </c>
      <c r="N21" s="41" t="s">
        <v>43</v>
      </c>
      <c r="O21" s="11">
        <v>2150.25</v>
      </c>
      <c r="P21" s="42">
        <v>0.39207037663260558</v>
      </c>
      <c r="Q21" s="42">
        <f t="shared" si="9"/>
        <v>1.6172903036094979</v>
      </c>
      <c r="R21" s="11">
        <f t="shared" si="20"/>
        <v>3.1249999999999996</v>
      </c>
      <c r="S21" s="12">
        <f t="shared" si="21"/>
        <v>3477.5784753363228</v>
      </c>
      <c r="T21" s="41">
        <f t="shared" si="22"/>
        <v>46.367713004484308</v>
      </c>
      <c r="U21" s="41">
        <f>SUM(План!C13)</f>
        <v>16500</v>
      </c>
      <c r="V21" s="11">
        <f t="shared" si="11"/>
        <v>49500</v>
      </c>
      <c r="W21" s="41">
        <f t="shared" si="12"/>
        <v>99000</v>
      </c>
      <c r="X21" s="11">
        <f t="shared" si="13"/>
        <v>148500</v>
      </c>
      <c r="Y21" s="10">
        <f t="shared" si="1"/>
        <v>198000</v>
      </c>
      <c r="Z21" s="41">
        <v>9133</v>
      </c>
      <c r="AA21" s="41">
        <v>8331.7900000000009</v>
      </c>
      <c r="AB21" s="41">
        <v>10166.61</v>
      </c>
      <c r="AC21" s="41">
        <v>30296.880000000001</v>
      </c>
      <c r="AD21" s="11">
        <f t="shared" si="14"/>
        <v>57928.28</v>
      </c>
    </row>
    <row r="22" spans="1:30" x14ac:dyDescent="0.25">
      <c r="A22" s="35" t="s">
        <v>7</v>
      </c>
      <c r="B22" s="41" t="s">
        <v>43</v>
      </c>
      <c r="C22" s="11">
        <v>7172.8</v>
      </c>
      <c r="D22" s="42">
        <v>0.36756597809306701</v>
      </c>
      <c r="E22" s="42">
        <f t="shared" si="7"/>
        <v>0.31806709304320124</v>
      </c>
      <c r="F22" s="11">
        <f t="shared" si="15"/>
        <v>-0.13466666666666507</v>
      </c>
      <c r="G22" s="12">
        <f t="shared" si="16"/>
        <v>2281.4316449802741</v>
      </c>
      <c r="H22" s="41" t="s">
        <v>43</v>
      </c>
      <c r="I22" s="11">
        <v>879.2</v>
      </c>
      <c r="J22" s="42">
        <v>0.36756597809306701</v>
      </c>
      <c r="K22" s="42">
        <f t="shared" si="8"/>
        <v>0.31806709304320124</v>
      </c>
      <c r="L22" s="11">
        <f t="shared" si="0"/>
        <v>-0.13466666666666507</v>
      </c>
      <c r="M22" s="12">
        <f t="shared" si="4"/>
        <v>279.64458820358254</v>
      </c>
      <c r="N22" s="41" t="s">
        <v>43</v>
      </c>
      <c r="O22" s="11">
        <v>2150.25</v>
      </c>
      <c r="P22" s="42">
        <v>0.36756597809306701</v>
      </c>
      <c r="Q22" s="42">
        <f t="shared" si="9"/>
        <v>0.31806709304320124</v>
      </c>
      <c r="R22" s="11">
        <f t="shared" si="20"/>
        <v>-0.13466666666666507</v>
      </c>
      <c r="S22" s="12">
        <f t="shared" si="21"/>
        <v>683.92376681614348</v>
      </c>
      <c r="T22" s="41">
        <f t="shared" si="22"/>
        <v>9.1189835575485798</v>
      </c>
      <c r="U22" s="41">
        <f>SUM(План!C14)</f>
        <v>3245</v>
      </c>
      <c r="V22" s="11">
        <f t="shared" si="11"/>
        <v>9735</v>
      </c>
      <c r="W22" s="41">
        <f t="shared" si="12"/>
        <v>19470</v>
      </c>
      <c r="X22" s="11">
        <f t="shared" si="13"/>
        <v>29205</v>
      </c>
      <c r="Y22" s="10">
        <f t="shared" si="1"/>
        <v>38940</v>
      </c>
      <c r="Z22" s="41">
        <v>10758.07</v>
      </c>
      <c r="AA22" s="41">
        <v>9989.18</v>
      </c>
      <c r="AB22" s="41">
        <v>10004.61</v>
      </c>
      <c r="AC22" s="41">
        <v>9846.83</v>
      </c>
      <c r="AD22" s="11">
        <f t="shared" si="14"/>
        <v>40598.69</v>
      </c>
    </row>
    <row r="23" spans="1:30" x14ac:dyDescent="0.25">
      <c r="A23" s="35" t="s">
        <v>21</v>
      </c>
      <c r="B23" s="41" t="s">
        <v>43</v>
      </c>
      <c r="C23" s="11">
        <v>7172.8</v>
      </c>
      <c r="D23" s="42">
        <v>2.0560150947095002</v>
      </c>
      <c r="E23" s="42">
        <f t="shared" si="7"/>
        <v>2.0560150947095002</v>
      </c>
      <c r="F23" s="11">
        <f t="shared" si="15"/>
        <v>0</v>
      </c>
      <c r="G23" s="12">
        <f t="shared" si="16"/>
        <v>14747.385071332303</v>
      </c>
      <c r="H23" s="41" t="s">
        <v>43</v>
      </c>
      <c r="I23" s="11">
        <v>879.2</v>
      </c>
      <c r="J23" s="42">
        <v>2.0560150947095002</v>
      </c>
      <c r="K23" s="42">
        <f t="shared" si="8"/>
        <v>2.0560150947095002</v>
      </c>
      <c r="L23" s="11">
        <f t="shared" si="0"/>
        <v>0</v>
      </c>
      <c r="M23" s="12">
        <f t="shared" si="4"/>
        <v>1807.6484712685926</v>
      </c>
      <c r="N23" s="41" t="s">
        <v>43</v>
      </c>
      <c r="O23" s="11">
        <v>2150.25</v>
      </c>
      <c r="P23" s="42">
        <v>2.0560150947095002</v>
      </c>
      <c r="Q23" s="42">
        <f t="shared" si="9"/>
        <v>2.0560150947095002</v>
      </c>
      <c r="R23" s="11">
        <f t="shared" si="20"/>
        <v>0</v>
      </c>
      <c r="S23" s="12">
        <f t="shared" si="21"/>
        <v>4420.9464573991027</v>
      </c>
      <c r="T23" s="41">
        <f t="shared" si="22"/>
        <v>58.945952765321373</v>
      </c>
      <c r="U23" s="41">
        <f>SUM(План!C32)</f>
        <v>20975.98</v>
      </c>
      <c r="V23" s="11">
        <f t="shared" si="11"/>
        <v>62927.94</v>
      </c>
      <c r="W23" s="41">
        <f t="shared" si="12"/>
        <v>125855.88</v>
      </c>
      <c r="X23" s="11">
        <f t="shared" si="13"/>
        <v>188783.82</v>
      </c>
      <c r="Y23" s="10">
        <f t="shared" si="1"/>
        <v>251711.76</v>
      </c>
      <c r="Z23" s="41">
        <v>73575.02</v>
      </c>
      <c r="AA23" s="41">
        <v>60378.9</v>
      </c>
      <c r="AB23" s="41">
        <v>58878.9</v>
      </c>
      <c r="AC23" s="41">
        <v>58878.9</v>
      </c>
      <c r="AD23" s="11">
        <f t="shared" si="14"/>
        <v>251711.72</v>
      </c>
    </row>
    <row r="24" spans="1:30" x14ac:dyDescent="0.25">
      <c r="A24" s="35" t="s">
        <v>6</v>
      </c>
      <c r="B24" s="41" t="s">
        <v>43</v>
      </c>
      <c r="C24" s="11">
        <v>7172.8</v>
      </c>
      <c r="D24" s="42">
        <v>8.1681001739812298E-2</v>
      </c>
      <c r="E24" s="42">
        <f t="shared" si="7"/>
        <v>8.1681001739812298E-2</v>
      </c>
      <c r="F24" s="11">
        <f t="shared" si="15"/>
        <v>0</v>
      </c>
      <c r="G24" s="12">
        <f t="shared" si="16"/>
        <v>585.88148927932571</v>
      </c>
      <c r="H24" s="41" t="s">
        <v>43</v>
      </c>
      <c r="I24" s="11">
        <v>879.2</v>
      </c>
      <c r="J24" s="42">
        <v>8.1681001739812298E-2</v>
      </c>
      <c r="K24" s="42">
        <f t="shared" si="8"/>
        <v>8.1681001739812298E-2</v>
      </c>
      <c r="L24" s="11">
        <f t="shared" si="0"/>
        <v>0</v>
      </c>
      <c r="M24" s="12">
        <f t="shared" si="4"/>
        <v>71.813936729642975</v>
      </c>
      <c r="N24" s="41" t="s">
        <v>43</v>
      </c>
      <c r="O24" s="11">
        <v>2150.25</v>
      </c>
      <c r="P24" s="42">
        <v>8.1681001739812298E-2</v>
      </c>
      <c r="Q24" s="42">
        <f t="shared" si="9"/>
        <v>8.1681001739812298E-2</v>
      </c>
      <c r="R24" s="11">
        <f t="shared" si="20"/>
        <v>0</v>
      </c>
      <c r="S24" s="12">
        <f>SUM(O24*Q24)</f>
        <v>175.6345739910314</v>
      </c>
      <c r="T24" s="41">
        <f t="shared" si="22"/>
        <v>2.3417943198804188</v>
      </c>
      <c r="U24" s="41">
        <f>SUM(План!C15)</f>
        <v>833.33</v>
      </c>
      <c r="V24" s="11">
        <f t="shared" si="11"/>
        <v>2499.9900000000002</v>
      </c>
      <c r="W24" s="41">
        <f t="shared" si="12"/>
        <v>4999.9800000000005</v>
      </c>
      <c r="X24" s="11">
        <f t="shared" si="13"/>
        <v>7499.9700000000012</v>
      </c>
      <c r="Y24" s="10">
        <f t="shared" si="1"/>
        <v>9999.9600000000009</v>
      </c>
      <c r="Z24" s="41">
        <v>0</v>
      </c>
      <c r="AA24" s="41">
        <v>3499</v>
      </c>
      <c r="AB24" s="41">
        <v>0</v>
      </c>
      <c r="AC24" s="41">
        <v>5549</v>
      </c>
      <c r="AD24" s="11">
        <f t="shared" si="14"/>
        <v>9048</v>
      </c>
    </row>
    <row r="25" spans="1:30" x14ac:dyDescent="0.25">
      <c r="A25" s="35" t="s">
        <v>35</v>
      </c>
      <c r="B25" s="41" t="s">
        <v>43</v>
      </c>
      <c r="C25" s="11">
        <v>7172.8</v>
      </c>
      <c r="D25" s="42">
        <v>12.7422872405596</v>
      </c>
      <c r="E25" s="42">
        <f t="shared" si="7"/>
        <v>15.290744688671616</v>
      </c>
      <c r="F25" s="11">
        <f t="shared" si="15"/>
        <v>0.20000000000000753</v>
      </c>
      <c r="G25" s="12">
        <f t="shared" si="16"/>
        <v>109677.45350290377</v>
      </c>
      <c r="H25" s="41" t="s">
        <v>43</v>
      </c>
      <c r="I25" s="11">
        <v>879.2</v>
      </c>
      <c r="J25" s="42">
        <v>12.7422872405596</v>
      </c>
      <c r="K25" s="42">
        <f t="shared" si="8"/>
        <v>15.290744688671616</v>
      </c>
      <c r="L25" s="11">
        <f t="shared" si="0"/>
        <v>0.20000000000000753</v>
      </c>
      <c r="M25" s="12">
        <f t="shared" si="4"/>
        <v>13443.622730280085</v>
      </c>
      <c r="N25" s="41" t="s">
        <v>43</v>
      </c>
      <c r="O25" s="11">
        <v>2150.25</v>
      </c>
      <c r="P25" s="42">
        <v>12.7422872405596</v>
      </c>
      <c r="Q25" s="42">
        <f t="shared" si="9"/>
        <v>15.290744688671616</v>
      </c>
      <c r="R25" s="11">
        <f t="shared" si="20"/>
        <v>0.20000000000000753</v>
      </c>
      <c r="S25" s="12">
        <f>SUM(O25*Q25)</f>
        <v>32878.923766816144</v>
      </c>
      <c r="T25" s="41">
        <f t="shared" si="22"/>
        <v>438.38565022421523</v>
      </c>
      <c r="U25" s="41">
        <f>SUM(План!C33)</f>
        <v>156000</v>
      </c>
      <c r="V25" s="11">
        <f t="shared" si="11"/>
        <v>468000</v>
      </c>
      <c r="W25" s="41">
        <f t="shared" si="12"/>
        <v>936000</v>
      </c>
      <c r="X25" s="11">
        <f t="shared" si="13"/>
        <v>1404000</v>
      </c>
      <c r="Y25" s="10">
        <f t="shared" si="1"/>
        <v>1872000</v>
      </c>
      <c r="Z25" s="41">
        <v>603107</v>
      </c>
      <c r="AA25" s="41">
        <v>597483.02</v>
      </c>
      <c r="AB25" s="41">
        <v>66795</v>
      </c>
      <c r="AC25" s="41">
        <v>54418</v>
      </c>
      <c r="AD25" s="11">
        <f t="shared" si="14"/>
        <v>1321803.02</v>
      </c>
    </row>
    <row r="26" spans="1:30" x14ac:dyDescent="0.25">
      <c r="A26" s="35" t="s">
        <v>36</v>
      </c>
      <c r="B26" s="41" t="s">
        <v>43</v>
      </c>
      <c r="C26" s="11">
        <v>7172.8</v>
      </c>
      <c r="D26" s="42">
        <v>1.8378298904653385</v>
      </c>
      <c r="E26" s="42">
        <f t="shared" si="7"/>
        <v>2.2053958685584063</v>
      </c>
      <c r="F26" s="11">
        <f t="shared" si="15"/>
        <v>0.20000000000000004</v>
      </c>
      <c r="G26" s="12">
        <f t="shared" si="16"/>
        <v>15818.863485995736</v>
      </c>
      <c r="H26" s="41" t="s">
        <v>43</v>
      </c>
      <c r="I26" s="11">
        <v>879.2</v>
      </c>
      <c r="J26" s="42">
        <v>1.8378298904653385</v>
      </c>
      <c r="K26" s="42">
        <f t="shared" si="8"/>
        <v>2.2053958685584063</v>
      </c>
      <c r="L26" s="11">
        <f t="shared" si="0"/>
        <v>0.20000000000000004</v>
      </c>
      <c r="M26" s="12">
        <f t="shared" si="4"/>
        <v>1938.9840476365509</v>
      </c>
      <c r="N26" s="41" t="s">
        <v>43</v>
      </c>
      <c r="O26" s="11">
        <v>2150.25</v>
      </c>
      <c r="P26" s="42">
        <v>1.8378298904653385</v>
      </c>
      <c r="Q26" s="42">
        <f t="shared" si="9"/>
        <v>2.2053958685584063</v>
      </c>
      <c r="R26" s="11">
        <f t="shared" si="20"/>
        <v>0.20000000000000004</v>
      </c>
      <c r="S26" s="12">
        <f>SUM(O26*Q26)</f>
        <v>4742.1524663677128</v>
      </c>
      <c r="T26" s="41">
        <f t="shared" si="22"/>
        <v>63.228699551569512</v>
      </c>
      <c r="U26" s="41">
        <f>SUM(План!C34)</f>
        <v>22500</v>
      </c>
      <c r="V26" s="11">
        <f t="shared" si="11"/>
        <v>67500</v>
      </c>
      <c r="W26" s="41">
        <f t="shared" si="12"/>
        <v>135000</v>
      </c>
      <c r="X26" s="11">
        <f t="shared" si="13"/>
        <v>202500</v>
      </c>
      <c r="Y26" s="10">
        <f t="shared" si="1"/>
        <v>270000</v>
      </c>
      <c r="Z26" s="41">
        <v>176765.26</v>
      </c>
      <c r="AA26" s="41">
        <v>138329.87</v>
      </c>
      <c r="AB26" s="41">
        <v>120798.6</v>
      </c>
      <c r="AC26" s="41">
        <v>243289.28</v>
      </c>
      <c r="AD26" s="11">
        <f t="shared" si="14"/>
        <v>679183.01</v>
      </c>
    </row>
    <row r="27" spans="1:30" ht="30" x14ac:dyDescent="0.25">
      <c r="A27" s="35" t="s">
        <v>63</v>
      </c>
      <c r="B27" s="41" t="s">
        <v>43</v>
      </c>
      <c r="C27" s="11">
        <v>7172.8</v>
      </c>
      <c r="D27" s="42">
        <v>0.48795449475797398</v>
      </c>
      <c r="E27" s="42">
        <f>3500/C27</f>
        <v>0.48795449475797453</v>
      </c>
      <c r="F27" s="11">
        <f t="shared" si="15"/>
        <v>1.1376296730044761E-15</v>
      </c>
      <c r="G27" s="12">
        <f t="shared" si="16"/>
        <v>3500</v>
      </c>
      <c r="H27" s="41" t="s">
        <v>43</v>
      </c>
      <c r="I27" s="11">
        <v>879.2</v>
      </c>
      <c r="J27" s="42">
        <v>5.3276997474789098</v>
      </c>
      <c r="K27" s="42">
        <f>SUM(U27-G27)/(I27+O27)</f>
        <v>5.3276997474789161</v>
      </c>
      <c r="L27" s="11">
        <f t="shared" si="0"/>
        <v>1.1669668398341902E-15</v>
      </c>
      <c r="M27" s="12">
        <f t="shared" si="4"/>
        <v>4684.113617983463</v>
      </c>
      <c r="N27" s="41" t="s">
        <v>43</v>
      </c>
      <c r="O27" s="11">
        <v>2150.25</v>
      </c>
      <c r="P27" s="42">
        <v>5.3276997474789098</v>
      </c>
      <c r="Q27" s="42">
        <f>SUM(U27-G27)/(I27+O27)</f>
        <v>5.3276997474789161</v>
      </c>
      <c r="R27" s="11">
        <f t="shared" si="20"/>
        <v>1.1669668398341902E-15</v>
      </c>
      <c r="S27" s="12">
        <f>SUM(O27*Q27)</f>
        <v>11455.886382016539</v>
      </c>
      <c r="T27" s="41">
        <f t="shared" si="22"/>
        <v>152.74515176022052</v>
      </c>
      <c r="U27" s="41">
        <f>SUM(План!C35)</f>
        <v>19640</v>
      </c>
      <c r="V27" s="11">
        <f t="shared" si="11"/>
        <v>58920</v>
      </c>
      <c r="W27" s="41">
        <f t="shared" si="12"/>
        <v>117840</v>
      </c>
      <c r="X27" s="11">
        <f t="shared" si="13"/>
        <v>176760</v>
      </c>
      <c r="Y27" s="10">
        <f t="shared" si="1"/>
        <v>235680</v>
      </c>
      <c r="Z27" s="41">
        <v>45000</v>
      </c>
      <c r="AA27" s="41">
        <v>45000</v>
      </c>
      <c r="AB27" s="41">
        <v>45000</v>
      </c>
      <c r="AC27" s="41">
        <v>45000</v>
      </c>
      <c r="AD27" s="11">
        <f t="shared" si="14"/>
        <v>180000</v>
      </c>
    </row>
    <row r="28" spans="1:30" x14ac:dyDescent="0.25">
      <c r="A28" s="42" t="s">
        <v>27</v>
      </c>
      <c r="B28" s="41" t="s">
        <v>43</v>
      </c>
      <c r="C28" s="11">
        <v>4115.2</v>
      </c>
      <c r="D28" s="42">
        <v>1.084727733338932</v>
      </c>
      <c r="E28" s="42">
        <f t="shared" si="7"/>
        <v>1.2830117640472243</v>
      </c>
      <c r="F28" s="11">
        <f t="shared" si="15"/>
        <v>0.18279612903225809</v>
      </c>
      <c r="G28" s="12">
        <f t="shared" si="16"/>
        <v>5279.8500114071376</v>
      </c>
      <c r="H28" s="41" t="s">
        <v>43</v>
      </c>
      <c r="I28" s="11">
        <v>879.2</v>
      </c>
      <c r="J28" s="42">
        <v>1.084727733338932</v>
      </c>
      <c r="K28" s="42">
        <f t="shared" si="8"/>
        <v>1.2830117640472243</v>
      </c>
      <c r="L28" s="11">
        <f t="shared" si="0"/>
        <v>0.18279612903225809</v>
      </c>
      <c r="M28" s="12">
        <f t="shared" si="4"/>
        <v>1128.0239429503197</v>
      </c>
      <c r="N28" s="41" t="s">
        <v>43</v>
      </c>
      <c r="O28" s="11">
        <v>2150.25</v>
      </c>
      <c r="P28" s="42">
        <v>1.084727733338932</v>
      </c>
      <c r="Q28" s="42">
        <f t="shared" si="9"/>
        <v>1.2830117640472243</v>
      </c>
      <c r="R28" s="11">
        <f t="shared" si="20"/>
        <v>0.18279612903225809</v>
      </c>
      <c r="S28" s="12">
        <f>SUM(O28*Q28)</f>
        <v>2758.796045642544</v>
      </c>
      <c r="T28" s="41">
        <f t="shared" si="22"/>
        <v>36.78394727523392</v>
      </c>
      <c r="U28" s="41">
        <f>SUM(План!C36)</f>
        <v>9166.67</v>
      </c>
      <c r="V28" s="11">
        <f t="shared" si="11"/>
        <v>27500.010000000002</v>
      </c>
      <c r="W28" s="41">
        <f t="shared" si="12"/>
        <v>55000.020000000004</v>
      </c>
      <c r="X28" s="11">
        <f t="shared" si="13"/>
        <v>82500.03</v>
      </c>
      <c r="Y28" s="10">
        <f t="shared" si="1"/>
        <v>110000.04000000001</v>
      </c>
      <c r="Z28" s="41">
        <v>58500</v>
      </c>
      <c r="AA28" s="41">
        <v>61000</v>
      </c>
      <c r="AB28" s="41">
        <v>0</v>
      </c>
      <c r="AC28" s="41">
        <v>62000</v>
      </c>
      <c r="AD28" s="11">
        <f t="shared" si="14"/>
        <v>181500</v>
      </c>
    </row>
    <row r="29" spans="1:30" x14ac:dyDescent="0.25">
      <c r="A29" s="42" t="s">
        <v>85</v>
      </c>
      <c r="B29" s="41" t="s">
        <v>43</v>
      </c>
      <c r="C29" s="11">
        <v>7172.8</v>
      </c>
      <c r="D29" s="42">
        <v>0.57160383671648451</v>
      </c>
      <c r="E29" s="42">
        <f>U29/C29</f>
        <v>0.57160383671648451</v>
      </c>
      <c r="F29" s="11">
        <f t="shared" si="15"/>
        <v>0</v>
      </c>
      <c r="G29" s="12">
        <f t="shared" si="16"/>
        <v>4100</v>
      </c>
      <c r="H29" s="41" t="s">
        <v>43</v>
      </c>
      <c r="I29" s="11">
        <v>879.2</v>
      </c>
      <c r="J29" s="42"/>
      <c r="K29" s="42"/>
      <c r="L29" s="11"/>
      <c r="M29" s="12">
        <f t="shared" si="4"/>
        <v>0</v>
      </c>
      <c r="N29" s="41" t="s">
        <v>43</v>
      </c>
      <c r="O29" s="11">
        <v>2150.25</v>
      </c>
      <c r="P29" s="42"/>
      <c r="Q29" s="42"/>
      <c r="R29" s="11"/>
      <c r="S29" s="13"/>
      <c r="T29" s="41"/>
      <c r="U29" s="42">
        <f>SUM(План!C37)</f>
        <v>4100</v>
      </c>
      <c r="V29" s="11">
        <f t="shared" si="11"/>
        <v>12300</v>
      </c>
      <c r="W29" s="41">
        <f t="shared" si="12"/>
        <v>24600</v>
      </c>
      <c r="X29" s="11">
        <f t="shared" si="13"/>
        <v>36900</v>
      </c>
      <c r="Y29" s="10">
        <f t="shared" si="1"/>
        <v>49200</v>
      </c>
      <c r="Z29" s="41">
        <v>12300</v>
      </c>
      <c r="AA29" s="41">
        <v>12300</v>
      </c>
      <c r="AB29" s="41">
        <v>12300</v>
      </c>
      <c r="AC29" s="41">
        <v>12300</v>
      </c>
      <c r="AD29" s="11">
        <f t="shared" si="14"/>
        <v>49200</v>
      </c>
    </row>
    <row r="30" spans="1:30" x14ac:dyDescent="0.25">
      <c r="A30" s="42" t="s">
        <v>32</v>
      </c>
      <c r="B30" s="41" t="s">
        <v>43</v>
      </c>
      <c r="C30" s="11">
        <v>7172.8</v>
      </c>
      <c r="D30" s="42">
        <v>1.0928961748633881</v>
      </c>
      <c r="E30" s="42">
        <f>SUM(U30)/(C30+I30)</f>
        <v>1.0928961748633881</v>
      </c>
      <c r="F30" s="11">
        <f t="shared" si="15"/>
        <v>0</v>
      </c>
      <c r="G30" s="12">
        <f t="shared" si="16"/>
        <v>7839.1256830601105</v>
      </c>
      <c r="H30" s="41" t="s">
        <v>43</v>
      </c>
      <c r="I30" s="11">
        <v>879.2</v>
      </c>
      <c r="J30" s="42">
        <v>1.0928961748633881</v>
      </c>
      <c r="K30" s="42">
        <f>SUM(U30)/(C30+I30)</f>
        <v>1.0928961748633881</v>
      </c>
      <c r="L30" s="11">
        <f t="shared" ref="L30:L31" si="23">(K30-J30)/J30</f>
        <v>0</v>
      </c>
      <c r="M30" s="12">
        <f t="shared" si="4"/>
        <v>960.87431693989083</v>
      </c>
      <c r="N30" s="41" t="s">
        <v>43</v>
      </c>
      <c r="O30" s="11">
        <v>2150.25</v>
      </c>
      <c r="P30" s="42"/>
      <c r="Q30" s="42"/>
      <c r="R30" s="11"/>
      <c r="S30" s="13"/>
      <c r="T30" s="41"/>
      <c r="U30" s="42">
        <f>SUM(План!C38)</f>
        <v>8800</v>
      </c>
      <c r="V30" s="11">
        <f t="shared" si="11"/>
        <v>26400</v>
      </c>
      <c r="W30" s="41">
        <f t="shared" si="12"/>
        <v>52800</v>
      </c>
      <c r="X30" s="11">
        <f t="shared" si="13"/>
        <v>79200</v>
      </c>
      <c r="Y30" s="10">
        <f t="shared" si="1"/>
        <v>105600</v>
      </c>
      <c r="Z30" s="42">
        <v>26400</v>
      </c>
      <c r="AA30" s="42">
        <v>26400</v>
      </c>
      <c r="AB30" s="42">
        <v>26400</v>
      </c>
      <c r="AC30" s="41">
        <v>26400</v>
      </c>
      <c r="AD30" s="11">
        <f t="shared" si="14"/>
        <v>105600</v>
      </c>
    </row>
    <row r="31" spans="1:30" x14ac:dyDescent="0.25">
      <c r="A31" s="42" t="s">
        <v>8</v>
      </c>
      <c r="B31" s="41" t="s">
        <v>43</v>
      </c>
      <c r="C31" s="11">
        <v>7172.8</v>
      </c>
      <c r="D31" s="42">
        <v>0.12923815824940499</v>
      </c>
      <c r="E31" s="42">
        <f t="shared" si="7"/>
        <v>0.1137004092234556</v>
      </c>
      <c r="F31" s="11">
        <f t="shared" si="15"/>
        <v>-0.12022570761155922</v>
      </c>
      <c r="G31" s="12">
        <f t="shared" si="16"/>
        <v>815.55029527800241</v>
      </c>
      <c r="H31" s="41" t="s">
        <v>43</v>
      </c>
      <c r="I31" s="11">
        <v>879.2</v>
      </c>
      <c r="J31" s="42">
        <v>0.12923815824940499</v>
      </c>
      <c r="K31" s="42">
        <f t="shared" si="8"/>
        <v>0.1137004092234556</v>
      </c>
      <c r="L31" s="11">
        <f t="shared" si="23"/>
        <v>-0.12022570761155922</v>
      </c>
      <c r="M31" s="12">
        <f t="shared" si="4"/>
        <v>99.965399789262179</v>
      </c>
      <c r="N31" s="41" t="s">
        <v>43</v>
      </c>
      <c r="O31" s="11">
        <v>2150.25</v>
      </c>
      <c r="P31" s="42">
        <v>0.12923815824940499</v>
      </c>
      <c r="Q31" s="42">
        <f t="shared" si="9"/>
        <v>0.1137004092234556</v>
      </c>
      <c r="R31" s="11">
        <f t="shared" ref="R31" si="24">(Q31-P31)/P31</f>
        <v>-0.12022570761155922</v>
      </c>
      <c r="S31" s="12">
        <f>SUM(O31*Q31)</f>
        <v>244.4843049327354</v>
      </c>
      <c r="T31" s="41">
        <f t="shared" ref="T31" si="25">SUM(Q31)*28.67</f>
        <v>3.2597907324364725</v>
      </c>
      <c r="U31" s="42">
        <f>SUM(План!C16)</f>
        <v>1160</v>
      </c>
      <c r="V31" s="11">
        <f t="shared" si="11"/>
        <v>3480</v>
      </c>
      <c r="W31" s="41">
        <f t="shared" si="12"/>
        <v>6960</v>
      </c>
      <c r="X31" s="11">
        <f t="shared" si="13"/>
        <v>10440</v>
      </c>
      <c r="Y31" s="10">
        <f t="shared" si="1"/>
        <v>13920</v>
      </c>
      <c r="Z31" s="41">
        <v>1623.35</v>
      </c>
      <c r="AA31" s="41">
        <v>1464.1</v>
      </c>
      <c r="AB31" s="41">
        <v>1877.1</v>
      </c>
      <c r="AC31" s="41">
        <v>1596.05</v>
      </c>
      <c r="AD31" s="11">
        <f t="shared" si="14"/>
        <v>6560.5999999999995</v>
      </c>
    </row>
    <row r="32" spans="1:30" x14ac:dyDescent="0.25">
      <c r="A32" s="42"/>
      <c r="B32" s="42"/>
      <c r="C32" s="43"/>
      <c r="D32" s="42"/>
      <c r="E32" s="42"/>
      <c r="F32" s="11"/>
      <c r="G32" s="13"/>
      <c r="H32" s="42"/>
      <c r="I32" s="43"/>
      <c r="J32" s="42"/>
      <c r="K32" s="42"/>
      <c r="L32" s="11"/>
      <c r="M32" s="13"/>
      <c r="N32" s="42"/>
      <c r="O32" s="11"/>
      <c r="P32" s="42"/>
      <c r="Q32" s="42"/>
      <c r="R32" s="11"/>
      <c r="S32" s="12"/>
      <c r="T32" s="41"/>
      <c r="U32" s="42"/>
      <c r="V32" s="11"/>
      <c r="W32" s="41"/>
      <c r="X32" s="11"/>
      <c r="Y32" s="13"/>
      <c r="Z32" s="41"/>
      <c r="AA32" s="41"/>
      <c r="AB32" s="41"/>
      <c r="AC32" s="41"/>
      <c r="AD32" s="11"/>
    </row>
    <row r="33" spans="1:30" x14ac:dyDescent="0.25">
      <c r="A33" s="38" t="s">
        <v>28</v>
      </c>
      <c r="B33" s="38" t="s">
        <v>80</v>
      </c>
      <c r="C33" s="10">
        <v>67</v>
      </c>
      <c r="D33" s="38">
        <v>106.25</v>
      </c>
      <c r="E33" s="38">
        <v>111.20820000000001</v>
      </c>
      <c r="F33" s="10">
        <f>(E33-D33)/D33</f>
        <v>4.6665411764705927E-2</v>
      </c>
      <c r="G33" s="10">
        <f>SUM(C33*E33)</f>
        <v>7450.9494000000004</v>
      </c>
      <c r="H33" s="38" t="s">
        <v>57</v>
      </c>
      <c r="I33" s="10">
        <v>879.2</v>
      </c>
      <c r="J33" s="38"/>
      <c r="K33" s="38"/>
      <c r="L33" s="10"/>
      <c r="M33" s="38"/>
      <c r="N33" s="38" t="s">
        <v>76</v>
      </c>
      <c r="O33" s="10">
        <v>2150.25</v>
      </c>
      <c r="P33" s="38"/>
      <c r="Q33" s="38"/>
      <c r="R33" s="10"/>
      <c r="S33" s="10"/>
      <c r="T33" s="10"/>
      <c r="U33" s="38">
        <f>SUM(G33)</f>
        <v>7450.9494000000004</v>
      </c>
      <c r="V33" s="10">
        <f>SUM(U33)*3</f>
        <v>22352.8482</v>
      </c>
      <c r="W33" s="10">
        <f t="shared" ref="W33:W36" si="26">SUM(V33)*2</f>
        <v>44705.696400000001</v>
      </c>
      <c r="X33" s="10">
        <f t="shared" si="13"/>
        <v>67058.544599999994</v>
      </c>
      <c r="Y33" s="10">
        <f>SUM(U33)*12</f>
        <v>89411.392800000001</v>
      </c>
      <c r="Z33" s="10">
        <v>23101.599999999999</v>
      </c>
      <c r="AA33" s="10">
        <v>23697.9</v>
      </c>
      <c r="AB33" s="10">
        <v>24751.14</v>
      </c>
      <c r="AC33" s="10">
        <v>25277.759999999998</v>
      </c>
      <c r="AD33" s="10">
        <f t="shared" si="14"/>
        <v>96828.4</v>
      </c>
    </row>
    <row r="34" spans="1:30" x14ac:dyDescent="0.25">
      <c r="A34" s="42"/>
      <c r="B34" s="42"/>
      <c r="C34" s="43"/>
      <c r="D34" s="39"/>
      <c r="E34" s="39"/>
      <c r="F34" s="11"/>
      <c r="G34" s="13"/>
      <c r="H34" s="42"/>
      <c r="I34" s="43"/>
      <c r="J34" s="39"/>
      <c r="K34" s="39"/>
      <c r="L34" s="11"/>
      <c r="M34" s="13"/>
      <c r="N34" s="42"/>
      <c r="O34" s="11"/>
      <c r="P34" s="39"/>
      <c r="Q34" s="39"/>
      <c r="R34" s="11"/>
      <c r="S34" s="38"/>
      <c r="T34" s="36"/>
      <c r="U34" s="42"/>
      <c r="V34" s="11"/>
      <c r="W34" s="41"/>
      <c r="X34" s="11"/>
      <c r="Y34" s="13"/>
      <c r="Z34" s="41"/>
      <c r="AA34" s="41"/>
      <c r="AB34" s="41"/>
      <c r="AC34" s="41"/>
      <c r="AD34" s="11"/>
    </row>
    <row r="35" spans="1:30" x14ac:dyDescent="0.25">
      <c r="A35" s="38" t="s">
        <v>34</v>
      </c>
      <c r="B35" s="10" t="s">
        <v>43</v>
      </c>
      <c r="C35" s="10">
        <v>7172.8</v>
      </c>
      <c r="D35" s="38">
        <v>0.87</v>
      </c>
      <c r="E35" s="38">
        <v>0.87</v>
      </c>
      <c r="F35" s="10">
        <f>(E35-D35)/D35</f>
        <v>0</v>
      </c>
      <c r="G35" s="38">
        <f>SUM(C35*E35)</f>
        <v>6240.3360000000002</v>
      </c>
      <c r="H35" s="10" t="s">
        <v>43</v>
      </c>
      <c r="I35" s="10">
        <v>879.2</v>
      </c>
      <c r="J35" s="38">
        <v>0.87</v>
      </c>
      <c r="K35" s="38">
        <v>0.87</v>
      </c>
      <c r="L35" s="10">
        <f>(K35-J35)/J35</f>
        <v>0</v>
      </c>
      <c r="M35" s="10">
        <f>SUM(I35*K35)</f>
        <v>764.904</v>
      </c>
      <c r="N35" s="10" t="s">
        <v>43</v>
      </c>
      <c r="O35" s="10">
        <v>2150.25</v>
      </c>
      <c r="P35" s="38">
        <v>0.87</v>
      </c>
      <c r="Q35" s="38">
        <v>0.87</v>
      </c>
      <c r="R35" s="10">
        <f>(Q35-P35)/P35</f>
        <v>0</v>
      </c>
      <c r="S35" s="10">
        <f>SUM(O35*Q35)</f>
        <v>1870.7175</v>
      </c>
      <c r="T35" s="10">
        <f t="shared" ref="T35" si="27">SUM(Q35)*28.67</f>
        <v>24.942900000000002</v>
      </c>
      <c r="U35" s="38">
        <f>SUM(G35,M35,S35)</f>
        <v>8875.9575000000004</v>
      </c>
      <c r="V35" s="10">
        <f>SUM(U35)*3</f>
        <v>26627.872500000001</v>
      </c>
      <c r="W35" s="10">
        <f t="shared" si="26"/>
        <v>53255.745000000003</v>
      </c>
      <c r="X35" s="10">
        <f t="shared" si="13"/>
        <v>79883.617500000008</v>
      </c>
      <c r="Y35" s="10">
        <f>SUM(U35)*12</f>
        <v>106511.49</v>
      </c>
      <c r="Z35" s="10">
        <v>26627.87</v>
      </c>
      <c r="AA35" s="10">
        <v>26627.87</v>
      </c>
      <c r="AB35" s="10">
        <v>26627.87</v>
      </c>
      <c r="AC35" s="10">
        <v>26627.87</v>
      </c>
      <c r="AD35" s="10">
        <f>SUM(Z35,AA35,AB35,AC35)</f>
        <v>106511.48</v>
      </c>
    </row>
    <row r="36" spans="1:30" x14ac:dyDescent="0.25">
      <c r="A36" s="45" t="s">
        <v>200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37">
        <f>SUM(U6:U35)</f>
        <v>906333.30715000001</v>
      </c>
      <c r="V36" s="40">
        <f>SUM(U36)*3</f>
        <v>2718999.9214500003</v>
      </c>
      <c r="W36" s="40">
        <f t="shared" si="26"/>
        <v>5437999.8429000005</v>
      </c>
      <c r="X36" s="40">
        <f t="shared" si="13"/>
        <v>8156999.7643500008</v>
      </c>
      <c r="Y36" s="37">
        <f t="shared" ref="Y36:AD36" si="28">SUM(Y6:Y35)</f>
        <v>10875999.685799999</v>
      </c>
      <c r="Z36" s="37">
        <f t="shared" si="28"/>
        <v>2861018.79</v>
      </c>
      <c r="AA36" s="37">
        <f t="shared" si="28"/>
        <v>2845775.6799999997</v>
      </c>
      <c r="AB36" s="37">
        <f t="shared" si="28"/>
        <v>2209432.9400000004</v>
      </c>
      <c r="AC36" s="37">
        <f t="shared" si="28"/>
        <v>2385983.8099999996</v>
      </c>
      <c r="AD36" s="37">
        <f t="shared" si="28"/>
        <v>10302211.220000001</v>
      </c>
    </row>
    <row r="37" spans="1:30" ht="15" customHeight="1" x14ac:dyDescent="0.25">
      <c r="A37" s="47" t="s">
        <v>97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ht="15" customHeight="1" x14ac:dyDescent="0.25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8" t="s">
        <v>197</v>
      </c>
      <c r="AA38" s="48"/>
      <c r="AB38" s="48"/>
      <c r="AC38" s="48"/>
      <c r="AD38" s="48"/>
    </row>
    <row r="39" spans="1:30" ht="45.75" customHeight="1" x14ac:dyDescent="0.25">
      <c r="A39" s="38" t="s">
        <v>73</v>
      </c>
      <c r="B39" s="46" t="s">
        <v>75</v>
      </c>
      <c r="C39" s="46"/>
      <c r="D39" s="46"/>
      <c r="E39" s="46"/>
      <c r="F39" s="46" t="s">
        <v>106</v>
      </c>
      <c r="G39" s="46"/>
      <c r="H39" s="46"/>
      <c r="I39" s="46"/>
      <c r="J39" s="46" t="s">
        <v>112</v>
      </c>
      <c r="K39" s="46"/>
      <c r="L39" s="46"/>
      <c r="M39" s="46" t="s">
        <v>107</v>
      </c>
      <c r="N39" s="46"/>
      <c r="O39" s="46"/>
      <c r="P39" s="46"/>
      <c r="Q39" s="46" t="s">
        <v>72</v>
      </c>
      <c r="R39" s="46"/>
      <c r="S39" s="46"/>
      <c r="T39" s="46"/>
      <c r="U39" s="41" t="s">
        <v>190</v>
      </c>
      <c r="V39" s="11" t="s">
        <v>189</v>
      </c>
      <c r="W39" s="41" t="s">
        <v>187</v>
      </c>
      <c r="X39" s="11" t="s">
        <v>188</v>
      </c>
      <c r="Y39" s="12" t="s">
        <v>191</v>
      </c>
      <c r="Z39" s="41" t="s">
        <v>193</v>
      </c>
      <c r="AA39" s="41" t="s">
        <v>194</v>
      </c>
      <c r="AB39" s="41" t="s">
        <v>195</v>
      </c>
      <c r="AC39" s="41" t="s">
        <v>196</v>
      </c>
      <c r="AD39" s="13" t="s">
        <v>198</v>
      </c>
    </row>
    <row r="40" spans="1:30" x14ac:dyDescent="0.25">
      <c r="A40" s="39" t="s">
        <v>26</v>
      </c>
      <c r="B40" s="51" t="s">
        <v>49</v>
      </c>
      <c r="C40" s="51"/>
      <c r="D40" s="51"/>
      <c r="E40" s="51"/>
      <c r="F40" s="51">
        <v>750</v>
      </c>
      <c r="G40" s="51"/>
      <c r="H40" s="51"/>
      <c r="I40" s="51"/>
      <c r="J40" s="46">
        <v>969.7</v>
      </c>
      <c r="K40" s="46"/>
      <c r="L40" s="46"/>
      <c r="M40" s="53">
        <f t="shared" ref="M40:M45" si="29">SUM(J40-F40)/F40</f>
        <v>0.29293333333333338</v>
      </c>
      <c r="N40" s="53"/>
      <c r="O40" s="53"/>
      <c r="P40" s="53"/>
      <c r="Q40" s="51">
        <v>47.268536660822903</v>
      </c>
      <c r="R40" s="51"/>
      <c r="S40" s="51"/>
      <c r="T40" s="51"/>
      <c r="U40" s="42">
        <f t="shared" ref="U40:U45" si="30">SUM(Q40*J40)</f>
        <v>45836.299999999974</v>
      </c>
      <c r="V40" s="11">
        <f t="shared" ref="V40:V45" si="31">SUM(U40)*3</f>
        <v>137508.89999999991</v>
      </c>
      <c r="W40" s="41">
        <f t="shared" ref="W40:W45" si="32">SUM(V40)*2</f>
        <v>275017.79999999981</v>
      </c>
      <c r="X40" s="11">
        <f t="shared" ref="X40:X45" si="33">SUM(V40)*3</f>
        <v>412526.69999999972</v>
      </c>
      <c r="Y40" s="38">
        <f t="shared" ref="Y40:Y45" si="34">SUM(U40)*12</f>
        <v>550035.59999999963</v>
      </c>
      <c r="Z40" s="42">
        <v>164993.68</v>
      </c>
      <c r="AA40" s="42">
        <v>178736.07</v>
      </c>
      <c r="AB40" s="41">
        <v>193929.12</v>
      </c>
      <c r="AC40" s="41">
        <v>193929.12</v>
      </c>
      <c r="AD40" s="11">
        <f t="shared" ref="AD40:AD41" si="35">SUM(Z40,AA40,AB40,AC40)</f>
        <v>731587.99</v>
      </c>
    </row>
    <row r="41" spans="1:30" ht="15" customHeight="1" x14ac:dyDescent="0.25">
      <c r="A41" s="39" t="s">
        <v>67</v>
      </c>
      <c r="B41" s="51" t="s">
        <v>71</v>
      </c>
      <c r="C41" s="51"/>
      <c r="D41" s="51"/>
      <c r="E41" s="51"/>
      <c r="F41" s="51">
        <v>1880.11</v>
      </c>
      <c r="G41" s="51"/>
      <c r="H41" s="51"/>
      <c r="I41" s="51"/>
      <c r="J41" s="46">
        <v>1947.79</v>
      </c>
      <c r="K41" s="46"/>
      <c r="L41" s="46"/>
      <c r="M41" s="53">
        <f t="shared" si="29"/>
        <v>3.5997893740259912E-2</v>
      </c>
      <c r="N41" s="53"/>
      <c r="O41" s="53"/>
      <c r="P41" s="53"/>
      <c r="Q41" s="51">
        <v>90.74</v>
      </c>
      <c r="R41" s="51"/>
      <c r="S41" s="51"/>
      <c r="T41" s="51"/>
      <c r="U41" s="42">
        <f t="shared" si="30"/>
        <v>176742.46459999998</v>
      </c>
      <c r="V41" s="11">
        <f t="shared" si="31"/>
        <v>530227.39379999996</v>
      </c>
      <c r="W41" s="41">
        <f t="shared" si="32"/>
        <v>1060454.7875999999</v>
      </c>
      <c r="X41" s="11">
        <f t="shared" si="33"/>
        <v>1590682.1813999999</v>
      </c>
      <c r="Y41" s="38">
        <f>SUM(U41)*12</f>
        <v>2120909.5751999998</v>
      </c>
      <c r="Z41" s="42">
        <v>60723.94</v>
      </c>
      <c r="AA41" s="42">
        <v>468764.6</v>
      </c>
      <c r="AB41" s="41">
        <v>714603.39</v>
      </c>
      <c r="AC41" s="41">
        <v>-52206.37</v>
      </c>
      <c r="AD41" s="11">
        <f t="shared" si="35"/>
        <v>1191885.56</v>
      </c>
    </row>
    <row r="42" spans="1:30" x14ac:dyDescent="0.25">
      <c r="A42" s="39" t="s">
        <v>53</v>
      </c>
      <c r="B42" s="51" t="s">
        <v>49</v>
      </c>
      <c r="C42" s="51"/>
      <c r="D42" s="51"/>
      <c r="E42" s="51"/>
      <c r="F42" s="51">
        <v>33.119999999999997</v>
      </c>
      <c r="G42" s="51"/>
      <c r="H42" s="51"/>
      <c r="I42" s="51"/>
      <c r="J42" s="46">
        <v>33.68</v>
      </c>
      <c r="K42" s="46"/>
      <c r="L42" s="46"/>
      <c r="M42" s="53">
        <f t="shared" si="29"/>
        <v>1.6908212560386545E-2</v>
      </c>
      <c r="N42" s="53"/>
      <c r="O42" s="53"/>
      <c r="P42" s="53"/>
      <c r="Q42" s="51">
        <v>487.18</v>
      </c>
      <c r="R42" s="51"/>
      <c r="S42" s="51"/>
      <c r="T42" s="51"/>
      <c r="U42" s="42">
        <f t="shared" si="30"/>
        <v>16408.222399999999</v>
      </c>
      <c r="V42" s="11">
        <f t="shared" si="31"/>
        <v>49224.667199999996</v>
      </c>
      <c r="W42" s="41">
        <f t="shared" si="32"/>
        <v>98449.334399999992</v>
      </c>
      <c r="X42" s="11">
        <f t="shared" si="33"/>
        <v>147674.00159999999</v>
      </c>
      <c r="Y42" s="38">
        <f t="shared" si="34"/>
        <v>196898.66879999998</v>
      </c>
      <c r="Z42" s="41">
        <v>41820.160000000003</v>
      </c>
      <c r="AA42" s="41">
        <v>43437.25</v>
      </c>
      <c r="AB42" s="41">
        <v>45888.160000000003</v>
      </c>
      <c r="AC42" s="41">
        <v>50840.01</v>
      </c>
      <c r="AD42" s="11">
        <f t="shared" ref="AD42:AD47" si="36">SUM(Z42,AA42,AB42,AC42)</f>
        <v>181985.58000000002</v>
      </c>
    </row>
    <row r="43" spans="1:30" x14ac:dyDescent="0.25">
      <c r="A43" s="39" t="s">
        <v>52</v>
      </c>
      <c r="B43" s="51" t="s">
        <v>49</v>
      </c>
      <c r="C43" s="51"/>
      <c r="D43" s="51"/>
      <c r="E43" s="51"/>
      <c r="F43" s="51">
        <v>33.119999999999997</v>
      </c>
      <c r="G43" s="51"/>
      <c r="H43" s="51"/>
      <c r="I43" s="51"/>
      <c r="J43" s="46">
        <v>33.68</v>
      </c>
      <c r="K43" s="46"/>
      <c r="L43" s="46"/>
      <c r="M43" s="53">
        <f t="shared" si="29"/>
        <v>1.6908212560386545E-2</v>
      </c>
      <c r="N43" s="53"/>
      <c r="O43" s="53"/>
      <c r="P43" s="53"/>
      <c r="Q43" s="51">
        <v>717.83</v>
      </c>
      <c r="R43" s="51"/>
      <c r="S43" s="51"/>
      <c r="T43" s="51"/>
      <c r="U43" s="42">
        <f t="shared" si="30"/>
        <v>24176.5144</v>
      </c>
      <c r="V43" s="11">
        <f t="shared" si="31"/>
        <v>72529.5432</v>
      </c>
      <c r="W43" s="41">
        <f t="shared" si="32"/>
        <v>145059.0864</v>
      </c>
      <c r="X43" s="11">
        <f t="shared" si="33"/>
        <v>217588.62959999999</v>
      </c>
      <c r="Y43" s="38">
        <f t="shared" si="34"/>
        <v>290118.1728</v>
      </c>
      <c r="Z43" s="41">
        <v>63005.56</v>
      </c>
      <c r="AA43" s="41">
        <v>68298.720000000001</v>
      </c>
      <c r="AB43" s="41">
        <v>71025</v>
      </c>
      <c r="AC43" s="41">
        <v>76982.399999999994</v>
      </c>
      <c r="AD43" s="11">
        <f t="shared" si="36"/>
        <v>279311.68</v>
      </c>
    </row>
    <row r="44" spans="1:30" x14ac:dyDescent="0.25">
      <c r="A44" s="39" t="s">
        <v>90</v>
      </c>
      <c r="B44" s="51" t="s">
        <v>74</v>
      </c>
      <c r="C44" s="51"/>
      <c r="D44" s="51"/>
      <c r="E44" s="51"/>
      <c r="F44" s="51">
        <v>4.28</v>
      </c>
      <c r="G44" s="51"/>
      <c r="H44" s="51"/>
      <c r="I44" s="51"/>
      <c r="J44" s="46">
        <v>4.51</v>
      </c>
      <c r="K44" s="46"/>
      <c r="L44" s="46"/>
      <c r="M44" s="53">
        <f t="shared" si="29"/>
        <v>5.3738317757009234E-2</v>
      </c>
      <c r="N44" s="53"/>
      <c r="O44" s="53"/>
      <c r="P44" s="53"/>
      <c r="Q44" s="51">
        <v>6382.92</v>
      </c>
      <c r="R44" s="51"/>
      <c r="S44" s="51"/>
      <c r="T44" s="51"/>
      <c r="U44" s="42">
        <f t="shared" si="30"/>
        <v>28786.9692</v>
      </c>
      <c r="V44" s="11">
        <f t="shared" si="31"/>
        <v>86360.907600000006</v>
      </c>
      <c r="W44" s="41">
        <f t="shared" si="32"/>
        <v>172721.81520000001</v>
      </c>
      <c r="X44" s="11">
        <f t="shared" si="33"/>
        <v>259082.72280000002</v>
      </c>
      <c r="Y44" s="38">
        <f t="shared" si="34"/>
        <v>345443.63040000002</v>
      </c>
      <c r="Z44" s="41">
        <v>79245.77</v>
      </c>
      <c r="AA44" s="41">
        <v>67907.070000000007</v>
      </c>
      <c r="AB44" s="41">
        <v>98776.08</v>
      </c>
      <c r="AC44" s="41">
        <v>81505.759999999995</v>
      </c>
      <c r="AD44" s="11">
        <f t="shared" si="36"/>
        <v>327434.68000000005</v>
      </c>
    </row>
    <row r="45" spans="1:30" x14ac:dyDescent="0.25">
      <c r="A45" s="39" t="s">
        <v>91</v>
      </c>
      <c r="B45" s="51" t="s">
        <v>74</v>
      </c>
      <c r="C45" s="51"/>
      <c r="D45" s="51"/>
      <c r="E45" s="51"/>
      <c r="F45" s="51">
        <v>2.36</v>
      </c>
      <c r="G45" s="51"/>
      <c r="H45" s="51"/>
      <c r="I45" s="51"/>
      <c r="J45" s="46">
        <v>2.44</v>
      </c>
      <c r="K45" s="46"/>
      <c r="L45" s="46"/>
      <c r="M45" s="53">
        <f t="shared" si="29"/>
        <v>3.3898305084745797E-2</v>
      </c>
      <c r="N45" s="53"/>
      <c r="O45" s="53"/>
      <c r="P45" s="53"/>
      <c r="Q45" s="51">
        <v>3119.67</v>
      </c>
      <c r="R45" s="51"/>
      <c r="S45" s="51"/>
      <c r="T45" s="51"/>
      <c r="U45" s="42">
        <f t="shared" si="30"/>
        <v>7611.9948000000004</v>
      </c>
      <c r="V45" s="11">
        <f t="shared" si="31"/>
        <v>22835.984400000001</v>
      </c>
      <c r="W45" s="41">
        <f t="shared" si="32"/>
        <v>45671.968800000002</v>
      </c>
      <c r="X45" s="11">
        <f t="shared" si="33"/>
        <v>68507.953200000004</v>
      </c>
      <c r="Y45" s="38">
        <f t="shared" si="34"/>
        <v>91343.937600000005</v>
      </c>
      <c r="Z45" s="41">
        <v>19173.28</v>
      </c>
      <c r="AA45" s="41">
        <v>18531.8</v>
      </c>
      <c r="AB45" s="41">
        <v>27997.62</v>
      </c>
      <c r="AC45" s="41">
        <v>23645.52</v>
      </c>
      <c r="AD45" s="11">
        <f t="shared" si="36"/>
        <v>89348.22</v>
      </c>
    </row>
    <row r="46" spans="1:30" x14ac:dyDescent="0.25">
      <c r="A46" s="46" t="s">
        <v>99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38">
        <f t="shared" ref="U46:AC46" si="37">SUM(U40:U45)</f>
        <v>299562.46539999993</v>
      </c>
      <c r="V46" s="38">
        <f t="shared" si="37"/>
        <v>898687.39619999984</v>
      </c>
      <c r="W46" s="38">
        <f t="shared" si="37"/>
        <v>1797374.7923999997</v>
      </c>
      <c r="X46" s="38">
        <f t="shared" si="37"/>
        <v>2696062.1885999995</v>
      </c>
      <c r="Y46" s="38">
        <f t="shared" si="37"/>
        <v>3594749.5847999994</v>
      </c>
      <c r="Z46" s="38">
        <f t="shared" si="37"/>
        <v>428962.39</v>
      </c>
      <c r="AA46" s="38">
        <f t="shared" si="37"/>
        <v>845675.51</v>
      </c>
      <c r="AB46" s="38">
        <f t="shared" si="37"/>
        <v>1152219.3700000001</v>
      </c>
      <c r="AC46" s="38">
        <f t="shared" si="37"/>
        <v>374696.44000000006</v>
      </c>
      <c r="AD46" s="10">
        <f t="shared" si="36"/>
        <v>2801553.71</v>
      </c>
    </row>
    <row r="47" spans="1:30" ht="30.75" customHeight="1" x14ac:dyDescent="0.25">
      <c r="A47" s="45" t="s">
        <v>204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37">
        <f t="shared" ref="U47:AC47" si="38">SUM(U46,U36)</f>
        <v>1205895.7725499999</v>
      </c>
      <c r="V47" s="37">
        <f t="shared" si="38"/>
        <v>3617687.3176500001</v>
      </c>
      <c r="W47" s="37">
        <f t="shared" si="38"/>
        <v>7235374.6353000002</v>
      </c>
      <c r="X47" s="37">
        <f t="shared" si="38"/>
        <v>10853061.952950001</v>
      </c>
      <c r="Y47" s="37">
        <f t="shared" si="38"/>
        <v>14470749.270599999</v>
      </c>
      <c r="Z47" s="40">
        <f t="shared" si="38"/>
        <v>3289981.18</v>
      </c>
      <c r="AA47" s="40">
        <f t="shared" si="38"/>
        <v>3691451.1899999995</v>
      </c>
      <c r="AB47" s="40">
        <f t="shared" si="38"/>
        <v>3361652.3100000005</v>
      </c>
      <c r="AC47" s="40">
        <f t="shared" si="38"/>
        <v>2760680.2499999995</v>
      </c>
      <c r="AD47" s="40">
        <f t="shared" si="36"/>
        <v>13103764.93</v>
      </c>
    </row>
    <row r="48" spans="1:30" ht="15" customHeight="1" x14ac:dyDescent="0.25">
      <c r="A48" s="47" t="s">
        <v>100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</row>
    <row r="49" spans="1:30" ht="15" customHeight="1" x14ac:dyDescent="0.25">
      <c r="A49" s="46" t="s">
        <v>37</v>
      </c>
      <c r="B49" s="44" t="s">
        <v>68</v>
      </c>
      <c r="C49" s="44"/>
      <c r="D49" s="44"/>
      <c r="E49" s="44"/>
      <c r="F49" s="44"/>
      <c r="G49" s="44"/>
      <c r="H49" s="44" t="s">
        <v>69</v>
      </c>
      <c r="I49" s="44"/>
      <c r="J49" s="44"/>
      <c r="K49" s="44"/>
      <c r="L49" s="44"/>
      <c r="M49" s="44"/>
      <c r="N49" s="44" t="s">
        <v>70</v>
      </c>
      <c r="O49" s="44"/>
      <c r="P49" s="44"/>
      <c r="Q49" s="44"/>
      <c r="R49" s="44"/>
      <c r="S49" s="44"/>
      <c r="T49" s="44"/>
      <c r="U49" s="47" t="s">
        <v>101</v>
      </c>
      <c r="V49" s="47"/>
      <c r="W49" s="47"/>
      <c r="X49" s="47"/>
      <c r="Y49" s="47"/>
      <c r="Z49" s="44" t="s">
        <v>199</v>
      </c>
      <c r="AA49" s="44"/>
      <c r="AB49" s="44"/>
      <c r="AC49" s="44"/>
      <c r="AD49" s="44"/>
    </row>
    <row r="50" spans="1:30" x14ac:dyDescent="0.25">
      <c r="A50" s="46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7"/>
      <c r="V50" s="47"/>
      <c r="W50" s="47"/>
      <c r="X50" s="47"/>
      <c r="Y50" s="47"/>
      <c r="Z50" s="44"/>
      <c r="AA50" s="44"/>
      <c r="AB50" s="44"/>
      <c r="AC50" s="44"/>
      <c r="AD50" s="44"/>
    </row>
    <row r="51" spans="1:30" ht="45" x14ac:dyDescent="0.25">
      <c r="A51" s="46"/>
      <c r="B51" s="41" t="s">
        <v>45</v>
      </c>
      <c r="C51" s="42" t="s">
        <v>109</v>
      </c>
      <c r="D51" s="42" t="s">
        <v>105</v>
      </c>
      <c r="E51" s="42" t="s">
        <v>113</v>
      </c>
      <c r="F51" s="42" t="s">
        <v>78</v>
      </c>
      <c r="G51" s="42" t="s">
        <v>46</v>
      </c>
      <c r="H51" s="41" t="s">
        <v>44</v>
      </c>
      <c r="I51" s="42" t="s">
        <v>109</v>
      </c>
      <c r="J51" s="42" t="s">
        <v>105</v>
      </c>
      <c r="K51" s="42" t="s">
        <v>113</v>
      </c>
      <c r="L51" s="42" t="s">
        <v>78</v>
      </c>
      <c r="M51" s="41" t="s">
        <v>46</v>
      </c>
      <c r="N51" s="41" t="s">
        <v>44</v>
      </c>
      <c r="O51" s="42" t="s">
        <v>109</v>
      </c>
      <c r="P51" s="42" t="s">
        <v>105</v>
      </c>
      <c r="Q51" s="42" t="s">
        <v>113</v>
      </c>
      <c r="R51" s="42" t="s">
        <v>78</v>
      </c>
      <c r="S51" s="41" t="s">
        <v>46</v>
      </c>
      <c r="T51" s="42" t="s">
        <v>54</v>
      </c>
      <c r="U51" s="41" t="s">
        <v>190</v>
      </c>
      <c r="V51" s="41" t="s">
        <v>189</v>
      </c>
      <c r="W51" s="41" t="s">
        <v>187</v>
      </c>
      <c r="X51" s="41" t="s">
        <v>188</v>
      </c>
      <c r="Y51" s="41" t="s">
        <v>191</v>
      </c>
      <c r="Z51" s="41" t="s">
        <v>193</v>
      </c>
      <c r="AA51" s="41" t="s">
        <v>194</v>
      </c>
      <c r="AB51" s="41" t="s">
        <v>195</v>
      </c>
      <c r="AC51" s="41" t="s">
        <v>196</v>
      </c>
      <c r="AD51" s="41" t="s">
        <v>55</v>
      </c>
    </row>
    <row r="52" spans="1:30" x14ac:dyDescent="0.25">
      <c r="A52" s="46"/>
      <c r="B52" s="36" t="s">
        <v>43</v>
      </c>
      <c r="C52" s="40">
        <v>7172.8</v>
      </c>
      <c r="D52" s="39">
        <v>11.74</v>
      </c>
      <c r="E52" s="38">
        <v>11.74</v>
      </c>
      <c r="F52" s="40">
        <f>(E52-D52)/D52</f>
        <v>0</v>
      </c>
      <c r="G52" s="38">
        <f>SUM(C52*E52)</f>
        <v>84208.672000000006</v>
      </c>
      <c r="H52" s="36" t="s">
        <v>43</v>
      </c>
      <c r="I52" s="40">
        <v>879.2</v>
      </c>
      <c r="J52" s="39">
        <v>11.74</v>
      </c>
      <c r="K52" s="38">
        <v>11.74</v>
      </c>
      <c r="L52" s="40">
        <f>(K52-J52)/J52</f>
        <v>0</v>
      </c>
      <c r="M52" s="10">
        <f>SUM(I52*K52)</f>
        <v>10321.808000000001</v>
      </c>
      <c r="N52" s="36" t="s">
        <v>43</v>
      </c>
      <c r="O52" s="40">
        <v>2150.25</v>
      </c>
      <c r="P52" s="39">
        <v>11.74</v>
      </c>
      <c r="Q52" s="38">
        <v>11.74</v>
      </c>
      <c r="R52" s="40">
        <f>(Q52-P52)/P52</f>
        <v>0</v>
      </c>
      <c r="S52" s="10">
        <f>SUM(O52*Q52)</f>
        <v>25243.935000000001</v>
      </c>
      <c r="T52" s="36">
        <f>SUM(Q52)*28.67</f>
        <v>336.58580000000001</v>
      </c>
      <c r="U52" s="38">
        <f>SUM(G52,M52,S52)</f>
        <v>119774.41500000001</v>
      </c>
      <c r="V52" s="38">
        <f>SUM(U52)*3</f>
        <v>359323.245</v>
      </c>
      <c r="W52" s="38">
        <f>SUM(V52)*2</f>
        <v>718646.49</v>
      </c>
      <c r="X52" s="10">
        <f t="shared" ref="X52" si="39">SUM(V52)*3</f>
        <v>1077969.7349999999</v>
      </c>
      <c r="Y52" s="38">
        <f>SUM(U52)*12</f>
        <v>1437292.98</v>
      </c>
      <c r="Z52" s="12">
        <v>362693.78</v>
      </c>
      <c r="AA52" s="12">
        <v>362978.95</v>
      </c>
      <c r="AB52" s="12">
        <v>382099.59</v>
      </c>
      <c r="AC52" s="12">
        <v>392020.74</v>
      </c>
      <c r="AD52" s="10">
        <f>SUM(Z52,AA52,AB52,AC52)</f>
        <v>1499793.06</v>
      </c>
    </row>
    <row r="53" spans="1:30" x14ac:dyDescent="0.25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37">
        <f>SUM(U52,U47)</f>
        <v>1325670.1875499999</v>
      </c>
      <c r="V53" s="37">
        <f t="shared" ref="V53:X53" si="40">SUM(V52,V47)</f>
        <v>3977010.5626500002</v>
      </c>
      <c r="W53" s="37">
        <f t="shared" si="40"/>
        <v>7954021.1253000004</v>
      </c>
      <c r="X53" s="37">
        <f t="shared" si="40"/>
        <v>11931031.68795</v>
      </c>
      <c r="Y53" s="37">
        <f>SUM(Y52,Y47)</f>
        <v>15908042.250599999</v>
      </c>
      <c r="Z53" s="37">
        <f t="shared" ref="Z53:AC53" si="41">SUM(Z52,Z47)</f>
        <v>3652674.96</v>
      </c>
      <c r="AA53" s="37">
        <f t="shared" si="41"/>
        <v>4054430.1399999997</v>
      </c>
      <c r="AB53" s="37">
        <f t="shared" si="41"/>
        <v>3743751.9000000004</v>
      </c>
      <c r="AC53" s="37">
        <f t="shared" si="41"/>
        <v>3152700.9899999993</v>
      </c>
      <c r="AD53" s="40">
        <f>SUM(Z53,AA53,AB53,AC53)</f>
        <v>14603557.989999998</v>
      </c>
    </row>
    <row r="54" spans="1:30" ht="15" customHeight="1" x14ac:dyDescent="0.25">
      <c r="B54" s="50" t="s">
        <v>108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44" t="s">
        <v>103</v>
      </c>
      <c r="V54" s="44"/>
      <c r="W54" s="44"/>
      <c r="X54" s="44"/>
      <c r="Y54" s="44"/>
      <c r="Z54" s="44"/>
      <c r="AA54" s="44"/>
      <c r="AB54" s="44"/>
      <c r="AC54" s="44"/>
      <c r="AD54" s="44"/>
    </row>
    <row r="55" spans="1:30" ht="15" customHeight="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9" t="s">
        <v>192</v>
      </c>
      <c r="V55" s="49"/>
      <c r="W55" s="49"/>
      <c r="X55" s="49"/>
      <c r="Y55" s="49"/>
      <c r="Z55" s="49"/>
      <c r="AA55" s="49"/>
      <c r="AB55" s="49"/>
      <c r="AC55" s="49"/>
      <c r="AD55" s="49"/>
    </row>
    <row r="56" spans="1:30" ht="15" customHeight="1" x14ac:dyDescent="0.25">
      <c r="B56" s="51" t="s">
        <v>184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2" t="s">
        <v>94</v>
      </c>
      <c r="V56" s="52"/>
      <c r="W56" s="51" t="s">
        <v>104</v>
      </c>
      <c r="X56" s="51"/>
      <c r="Y56" s="51"/>
      <c r="Z56" s="52" t="s">
        <v>95</v>
      </c>
      <c r="AA56" s="52"/>
      <c r="AB56" s="52"/>
      <c r="AC56" s="52" t="s">
        <v>96</v>
      </c>
      <c r="AD56" s="52"/>
    </row>
    <row r="57" spans="1:30" x14ac:dyDescent="0.25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2"/>
      <c r="V57" s="52"/>
      <c r="W57" s="51"/>
      <c r="X57" s="51"/>
      <c r="Y57" s="51"/>
      <c r="Z57" s="52"/>
      <c r="AA57" s="52"/>
      <c r="AB57" s="52"/>
      <c r="AC57" s="52"/>
      <c r="AD57" s="52"/>
    </row>
    <row r="58" spans="1:30" x14ac:dyDescent="0.2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2"/>
      <c r="V58" s="52"/>
      <c r="W58" s="51"/>
      <c r="X58" s="51"/>
      <c r="Y58" s="51"/>
      <c r="Z58" s="52"/>
      <c r="AA58" s="52"/>
      <c r="AB58" s="52"/>
      <c r="AC58" s="52"/>
      <c r="AD58" s="52"/>
    </row>
    <row r="59" spans="1:30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  <c r="V59" s="52"/>
      <c r="W59" s="51"/>
      <c r="X59" s="51"/>
      <c r="Y59" s="51"/>
      <c r="Z59" s="52"/>
      <c r="AA59" s="52"/>
      <c r="AB59" s="52"/>
      <c r="AC59" s="52"/>
      <c r="AD59" s="52"/>
    </row>
    <row r="60" spans="1:30" x14ac:dyDescent="0.25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49">
        <v>6278753.25</v>
      </c>
      <c r="V60" s="49"/>
      <c r="W60" s="49">
        <v>5951113.3300000001</v>
      </c>
      <c r="X60" s="49"/>
      <c r="Y60" s="49"/>
      <c r="Z60" s="49">
        <v>2264714</v>
      </c>
      <c r="AA60" s="49"/>
      <c r="AB60" s="49"/>
      <c r="AC60" s="49">
        <v>3686399.33</v>
      </c>
      <c r="AD60" s="49"/>
    </row>
    <row r="64" spans="1:30" ht="15" customHeight="1" x14ac:dyDescent="0.25"/>
  </sheetData>
  <mergeCells count="68">
    <mergeCell ref="B41:E41"/>
    <mergeCell ref="B42:E42"/>
    <mergeCell ref="B44:E44"/>
    <mergeCell ref="Q44:T44"/>
    <mergeCell ref="M40:P40"/>
    <mergeCell ref="Q40:T40"/>
    <mergeCell ref="M41:P41"/>
    <mergeCell ref="M42:P42"/>
    <mergeCell ref="B40:E40"/>
    <mergeCell ref="Q41:T41"/>
    <mergeCell ref="Q42:T42"/>
    <mergeCell ref="F40:I40"/>
    <mergeCell ref="J40:L40"/>
    <mergeCell ref="A46:T46"/>
    <mergeCell ref="B43:E43"/>
    <mergeCell ref="A47:T47"/>
    <mergeCell ref="A53:T53"/>
    <mergeCell ref="B49:G50"/>
    <mergeCell ref="A48:AD48"/>
    <mergeCell ref="Z49:AD50"/>
    <mergeCell ref="J44:L44"/>
    <mergeCell ref="J45:L45"/>
    <mergeCell ref="Q45:T45"/>
    <mergeCell ref="Q43:T43"/>
    <mergeCell ref="J43:L43"/>
    <mergeCell ref="H49:M50"/>
    <mergeCell ref="N49:T50"/>
    <mergeCell ref="A49:A52"/>
    <mergeCell ref="A1:AD1"/>
    <mergeCell ref="B45:E45"/>
    <mergeCell ref="M39:P39"/>
    <mergeCell ref="M44:P44"/>
    <mergeCell ref="M45:P45"/>
    <mergeCell ref="M43:P43"/>
    <mergeCell ref="F39:I39"/>
    <mergeCell ref="F44:I44"/>
    <mergeCell ref="F45:I45"/>
    <mergeCell ref="F41:I41"/>
    <mergeCell ref="F42:I42"/>
    <mergeCell ref="J39:L39"/>
    <mergeCell ref="J41:L41"/>
    <mergeCell ref="J42:L42"/>
    <mergeCell ref="F43:I43"/>
    <mergeCell ref="B39:E39"/>
    <mergeCell ref="U54:AD54"/>
    <mergeCell ref="U55:AD55"/>
    <mergeCell ref="B54:T55"/>
    <mergeCell ref="B56:T60"/>
    <mergeCell ref="U49:Y50"/>
    <mergeCell ref="AC60:AD60"/>
    <mergeCell ref="U56:V59"/>
    <mergeCell ref="W56:Y59"/>
    <mergeCell ref="Z56:AB59"/>
    <mergeCell ref="AC56:AD59"/>
    <mergeCell ref="U60:V60"/>
    <mergeCell ref="W60:Y60"/>
    <mergeCell ref="Z60:AB60"/>
    <mergeCell ref="U2:Y3"/>
    <mergeCell ref="Z2:AD3"/>
    <mergeCell ref="A38:Y38"/>
    <mergeCell ref="Q39:T39"/>
    <mergeCell ref="A2:A4"/>
    <mergeCell ref="B2:G3"/>
    <mergeCell ref="H2:M3"/>
    <mergeCell ref="N2:T3"/>
    <mergeCell ref="A36:T36"/>
    <mergeCell ref="A37:AD37"/>
    <mergeCell ref="Z38:AD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10" zoomScaleNormal="100" workbookViewId="0">
      <selection activeCell="F9" sqref="F9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56" t="s">
        <v>114</v>
      </c>
      <c r="B1" s="56"/>
      <c r="C1" s="56"/>
      <c r="D1" s="56"/>
      <c r="E1" s="56"/>
      <c r="F1" s="56"/>
    </row>
    <row r="3" spans="1:13" ht="15.75" x14ac:dyDescent="0.25">
      <c r="A3" s="57" t="s">
        <v>66</v>
      </c>
      <c r="B3" s="57"/>
      <c r="C3" s="57"/>
      <c r="D3" s="57"/>
      <c r="E3" s="57"/>
      <c r="F3" s="57"/>
    </row>
    <row r="5" spans="1:13" x14ac:dyDescent="0.25">
      <c r="A5" s="58" t="s">
        <v>122</v>
      </c>
      <c r="B5" s="58"/>
      <c r="C5" s="58"/>
      <c r="D5" s="58"/>
      <c r="E5" s="58"/>
      <c r="F5" s="58"/>
    </row>
    <row r="6" spans="1:13" x14ac:dyDescent="0.25">
      <c r="A6" s="58" t="s">
        <v>123</v>
      </c>
      <c r="B6" s="58"/>
      <c r="C6" s="58"/>
      <c r="D6" s="58"/>
      <c r="E6" s="58"/>
      <c r="F6" s="58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16</v>
      </c>
      <c r="F7" s="2" t="s">
        <v>15</v>
      </c>
    </row>
    <row r="8" spans="1:13" s="15" customFormat="1" ht="30" x14ac:dyDescent="0.25">
      <c r="A8" s="1" t="s">
        <v>132</v>
      </c>
      <c r="B8" s="2" t="s">
        <v>4</v>
      </c>
      <c r="C8" s="6">
        <f>SUM(D8)/12</f>
        <v>150828.16666666666</v>
      </c>
      <c r="D8" s="6">
        <v>1809938</v>
      </c>
      <c r="E8" s="2"/>
      <c r="F8" s="2" t="s">
        <v>165</v>
      </c>
    </row>
    <row r="9" spans="1:13" s="15" customFormat="1" ht="45" x14ac:dyDescent="0.25">
      <c r="A9" s="1" t="s">
        <v>124</v>
      </c>
      <c r="B9" s="2" t="s">
        <v>58</v>
      </c>
      <c r="C9" s="6">
        <v>8400</v>
      </c>
      <c r="D9" s="6">
        <f>SUM(C9)*12</f>
        <v>100800</v>
      </c>
      <c r="E9" s="2"/>
      <c r="F9" s="2" t="s">
        <v>117</v>
      </c>
    </row>
    <row r="10" spans="1:13" s="15" customFormat="1" ht="30" x14ac:dyDescent="0.25">
      <c r="A10" s="1" t="s">
        <v>125</v>
      </c>
      <c r="B10" s="2" t="s">
        <v>5</v>
      </c>
      <c r="C10" s="6">
        <v>750</v>
      </c>
      <c r="D10" s="6">
        <f>SUM(C10)*12</f>
        <v>9000</v>
      </c>
      <c r="E10" s="2"/>
      <c r="F10" s="2" t="s">
        <v>88</v>
      </c>
    </row>
    <row r="11" spans="1:13" s="15" customFormat="1" ht="45" x14ac:dyDescent="0.25">
      <c r="A11" s="1" t="s">
        <v>126</v>
      </c>
      <c r="B11" s="2" t="s">
        <v>47</v>
      </c>
      <c r="C11" s="6">
        <f>SUM(C8)*30.2%</f>
        <v>45550.10633333333</v>
      </c>
      <c r="D11" s="6">
        <f>SUM(D8)*30.2%</f>
        <v>546601.27599999995</v>
      </c>
      <c r="E11" s="2"/>
      <c r="F11" s="2" t="s">
        <v>162</v>
      </c>
      <c r="H11" s="16"/>
    </row>
    <row r="12" spans="1:13" s="15" customFormat="1" ht="60" x14ac:dyDescent="0.25">
      <c r="A12" s="1" t="s">
        <v>127</v>
      </c>
      <c r="B12" s="2" t="s">
        <v>9</v>
      </c>
      <c r="C12" s="6">
        <v>875</v>
      </c>
      <c r="D12" s="6">
        <f>SUM(C12)*12</f>
        <v>10500</v>
      </c>
      <c r="E12" s="2"/>
      <c r="F12" s="2" t="s">
        <v>170</v>
      </c>
      <c r="G12" s="30"/>
      <c r="J12" s="54"/>
      <c r="K12" s="54"/>
      <c r="L12" s="54"/>
      <c r="M12" s="54"/>
    </row>
    <row r="13" spans="1:13" s="15" customFormat="1" ht="90" x14ac:dyDescent="0.25">
      <c r="A13" s="1" t="s">
        <v>128</v>
      </c>
      <c r="B13" s="2" t="s">
        <v>10</v>
      </c>
      <c r="C13" s="6">
        <v>16500</v>
      </c>
      <c r="D13" s="6">
        <f>SUM(C13)*12</f>
        <v>198000</v>
      </c>
      <c r="E13" s="2" t="s">
        <v>119</v>
      </c>
      <c r="F13" s="2" t="s">
        <v>180</v>
      </c>
      <c r="G13" s="31"/>
    </row>
    <row r="14" spans="1:13" s="15" customFormat="1" ht="30" x14ac:dyDescent="0.25">
      <c r="A14" s="1" t="s">
        <v>129</v>
      </c>
      <c r="B14" s="2" t="s">
        <v>7</v>
      </c>
      <c r="C14" s="6">
        <v>3245</v>
      </c>
      <c r="D14" s="6">
        <f>SUM(C14)*12</f>
        <v>38940</v>
      </c>
      <c r="E14" s="2"/>
      <c r="F14" s="2" t="s">
        <v>115</v>
      </c>
      <c r="G14" s="31"/>
    </row>
    <row r="15" spans="1:13" s="15" customFormat="1" x14ac:dyDescent="0.25">
      <c r="A15" s="1" t="s">
        <v>130</v>
      </c>
      <c r="B15" s="2" t="s">
        <v>6</v>
      </c>
      <c r="C15" s="6">
        <v>833.33</v>
      </c>
      <c r="D15" s="6">
        <f>SUM(C15)*12</f>
        <v>9999.9600000000009</v>
      </c>
      <c r="E15" s="2"/>
      <c r="F15" s="2" t="s">
        <v>88</v>
      </c>
      <c r="G15" s="32"/>
    </row>
    <row r="16" spans="1:13" s="15" customFormat="1" ht="30" x14ac:dyDescent="0.25">
      <c r="A16" s="1" t="s">
        <v>131</v>
      </c>
      <c r="B16" s="2" t="s">
        <v>8</v>
      </c>
      <c r="C16" s="6">
        <v>1160</v>
      </c>
      <c r="D16" s="6">
        <f>SUM(C16)*12</f>
        <v>13920</v>
      </c>
      <c r="E16" s="2" t="s">
        <v>19</v>
      </c>
      <c r="F16" s="2" t="s">
        <v>115</v>
      </c>
    </row>
    <row r="17" spans="1:7" x14ac:dyDescent="0.25">
      <c r="A17" s="1"/>
      <c r="B17" s="3" t="s">
        <v>11</v>
      </c>
      <c r="C17" s="5">
        <f>SUM(C8:C16)</f>
        <v>228141.60299999997</v>
      </c>
      <c r="D17" s="5">
        <f>SUM(D8:D16)</f>
        <v>2737699.236</v>
      </c>
      <c r="E17" s="2"/>
      <c r="F17" s="2"/>
    </row>
    <row r="19" spans="1:7" x14ac:dyDescent="0.25">
      <c r="A19" s="58" t="s">
        <v>133</v>
      </c>
      <c r="B19" s="58"/>
      <c r="C19" s="58"/>
      <c r="D19" s="58"/>
      <c r="E19" s="58"/>
      <c r="F19" s="58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16</v>
      </c>
      <c r="F21" s="2" t="s">
        <v>15</v>
      </c>
    </row>
    <row r="22" spans="1:7" s="15" customFormat="1" ht="60" x14ac:dyDescent="0.25">
      <c r="A22" s="1" t="s">
        <v>134</v>
      </c>
      <c r="B22" s="2" t="s">
        <v>30</v>
      </c>
      <c r="C22" s="6">
        <v>8568</v>
      </c>
      <c r="D22" s="6">
        <f>SUM(C22)*12</f>
        <v>102816</v>
      </c>
      <c r="E22" s="2" t="s">
        <v>31</v>
      </c>
      <c r="F22" s="2" t="s">
        <v>166</v>
      </c>
    </row>
    <row r="23" spans="1:7" s="15" customFormat="1" ht="30" x14ac:dyDescent="0.25">
      <c r="A23" s="1" t="s">
        <v>135</v>
      </c>
      <c r="B23" s="2" t="s">
        <v>24</v>
      </c>
      <c r="C23" s="6">
        <v>1466.88</v>
      </c>
      <c r="D23" s="6">
        <f>SUM(C23)*12</f>
        <v>17602.560000000001</v>
      </c>
      <c r="E23" s="2" t="s">
        <v>25</v>
      </c>
      <c r="F23" s="2" t="s">
        <v>116</v>
      </c>
    </row>
    <row r="24" spans="1:7" s="15" customFormat="1" ht="30" x14ac:dyDescent="0.25">
      <c r="A24" s="1" t="s">
        <v>136</v>
      </c>
      <c r="B24" s="2" t="s">
        <v>18</v>
      </c>
      <c r="C24" s="6">
        <v>16500</v>
      </c>
      <c r="D24" s="6">
        <f>SUM(C24)*12</f>
        <v>198000</v>
      </c>
      <c r="E24" s="2" t="s">
        <v>84</v>
      </c>
      <c r="F24" s="2" t="s">
        <v>92</v>
      </c>
      <c r="G24" s="4"/>
    </row>
    <row r="25" spans="1:7" ht="45" x14ac:dyDescent="0.25">
      <c r="A25" s="1" t="s">
        <v>137</v>
      </c>
      <c r="B25" s="25" t="s">
        <v>22</v>
      </c>
      <c r="C25" s="26">
        <v>12434.37</v>
      </c>
      <c r="D25" s="26">
        <f>SUM(C25)*12</f>
        <v>149212.44</v>
      </c>
      <c r="E25" s="25" t="s">
        <v>23</v>
      </c>
      <c r="F25" s="25" t="s">
        <v>167</v>
      </c>
    </row>
    <row r="26" spans="1:7" s="15" customFormat="1" ht="30" x14ac:dyDescent="0.25">
      <c r="A26" s="1" t="s">
        <v>138</v>
      </c>
      <c r="B26" s="2" t="s">
        <v>12</v>
      </c>
      <c r="C26" s="6">
        <f>SUM(D26)/12</f>
        <v>120363.20833333333</v>
      </c>
      <c r="D26" s="6">
        <v>1444358.5</v>
      </c>
      <c r="E26" s="2"/>
      <c r="F26" s="2" t="s">
        <v>82</v>
      </c>
      <c r="G26" s="33"/>
    </row>
    <row r="27" spans="1:7" s="15" customFormat="1" ht="30" x14ac:dyDescent="0.25">
      <c r="A27" s="1" t="s">
        <v>139</v>
      </c>
      <c r="B27" s="2" t="s">
        <v>50</v>
      </c>
      <c r="C27" s="6">
        <v>5250</v>
      </c>
      <c r="D27" s="6">
        <f>SUM(C27)*12</f>
        <v>63000</v>
      </c>
      <c r="E27" s="2"/>
      <c r="F27" s="2" t="s">
        <v>118</v>
      </c>
    </row>
    <row r="28" spans="1:7" s="15" customFormat="1" ht="30" x14ac:dyDescent="0.25">
      <c r="A28" s="1" t="s">
        <v>140</v>
      </c>
      <c r="B28" s="2" t="s">
        <v>81</v>
      </c>
      <c r="C28" s="6">
        <v>0</v>
      </c>
      <c r="D28" s="6">
        <f>SUM(C28)*12</f>
        <v>0</v>
      </c>
      <c r="E28" s="2"/>
      <c r="F28" s="2" t="s">
        <v>169</v>
      </c>
      <c r="G28" s="32"/>
    </row>
    <row r="29" spans="1:7" s="15" customFormat="1" x14ac:dyDescent="0.25">
      <c r="A29" s="1" t="s">
        <v>141</v>
      </c>
      <c r="B29" s="2" t="s">
        <v>65</v>
      </c>
      <c r="C29" s="6">
        <v>18750</v>
      </c>
      <c r="D29" s="6">
        <f>SUM(C29)*12</f>
        <v>225000</v>
      </c>
      <c r="E29" s="2"/>
      <c r="F29" s="2" t="s">
        <v>88</v>
      </c>
    </row>
    <row r="30" spans="1:7" s="15" customFormat="1" ht="45" x14ac:dyDescent="0.25">
      <c r="A30" s="1" t="s">
        <v>142</v>
      </c>
      <c r="B30" s="2" t="s">
        <v>48</v>
      </c>
      <c r="C30" s="6">
        <f>SUM(C26)*30.2%</f>
        <v>36349.688916666666</v>
      </c>
      <c r="D30" s="6">
        <f>SUM(D26)*30.2%</f>
        <v>436196.26699999999</v>
      </c>
      <c r="E30" s="2"/>
      <c r="F30" s="2" t="s">
        <v>179</v>
      </c>
    </row>
    <row r="31" spans="1:7" s="15" customFormat="1" ht="79.5" customHeight="1" x14ac:dyDescent="0.25">
      <c r="A31" s="1" t="s">
        <v>143</v>
      </c>
      <c r="B31" s="2" t="s">
        <v>20</v>
      </c>
      <c r="C31" s="6">
        <v>201000</v>
      </c>
      <c r="D31" s="6">
        <f t="shared" ref="D31:D36" si="0">SUM(C31)*12</f>
        <v>2412000</v>
      </c>
      <c r="E31" s="2" t="s">
        <v>121</v>
      </c>
      <c r="F31" s="2" t="s">
        <v>177</v>
      </c>
    </row>
    <row r="32" spans="1:7" ht="75" x14ac:dyDescent="0.25">
      <c r="A32" s="1" t="s">
        <v>144</v>
      </c>
      <c r="B32" s="2" t="s">
        <v>21</v>
      </c>
      <c r="C32" s="6">
        <v>20975.98</v>
      </c>
      <c r="D32" s="6">
        <f t="shared" si="0"/>
        <v>251711.76</v>
      </c>
      <c r="E32" s="2" t="s">
        <v>77</v>
      </c>
      <c r="F32" s="2" t="s">
        <v>93</v>
      </c>
      <c r="G32" s="7"/>
    </row>
    <row r="33" spans="1:7" s="15" customFormat="1" ht="38.25" customHeight="1" x14ac:dyDescent="0.25">
      <c r="A33" s="1" t="s">
        <v>145</v>
      </c>
      <c r="B33" s="2" t="s">
        <v>35</v>
      </c>
      <c r="C33" s="6">
        <v>156000</v>
      </c>
      <c r="D33" s="6">
        <f t="shared" si="0"/>
        <v>1872000</v>
      </c>
      <c r="E33" s="14"/>
      <c r="F33" s="59" t="s">
        <v>176</v>
      </c>
      <c r="G33" s="17"/>
    </row>
    <row r="34" spans="1:7" ht="74.25" customHeight="1" x14ac:dyDescent="0.25">
      <c r="A34" s="1" t="s">
        <v>146</v>
      </c>
      <c r="B34" s="2" t="s">
        <v>36</v>
      </c>
      <c r="C34" s="6">
        <v>22500</v>
      </c>
      <c r="D34" s="6">
        <f>SUM(C34)*12</f>
        <v>270000</v>
      </c>
      <c r="E34" s="14"/>
      <c r="F34" s="60"/>
    </row>
    <row r="35" spans="1:7" ht="60" x14ac:dyDescent="0.25">
      <c r="A35" s="1" t="s">
        <v>147</v>
      </c>
      <c r="B35" s="2" t="s">
        <v>59</v>
      </c>
      <c r="C35" s="6">
        <v>19640</v>
      </c>
      <c r="D35" s="6">
        <f t="shared" si="0"/>
        <v>235680</v>
      </c>
      <c r="E35" s="2" t="s">
        <v>17</v>
      </c>
      <c r="F35" s="2" t="s">
        <v>120</v>
      </c>
      <c r="G35" s="8"/>
    </row>
    <row r="36" spans="1:7" s="15" customFormat="1" ht="45" x14ac:dyDescent="0.25">
      <c r="A36" s="1" t="s">
        <v>148</v>
      </c>
      <c r="B36" s="2" t="s">
        <v>27</v>
      </c>
      <c r="C36" s="6">
        <v>9166.67</v>
      </c>
      <c r="D36" s="6">
        <f t="shared" si="0"/>
        <v>110000.04000000001</v>
      </c>
      <c r="E36" s="2" t="s">
        <v>79</v>
      </c>
      <c r="F36" s="2" t="s">
        <v>168</v>
      </c>
      <c r="G36" s="18"/>
    </row>
    <row r="37" spans="1:7" s="15" customFormat="1" ht="30" x14ac:dyDescent="0.25">
      <c r="A37" s="1" t="s">
        <v>149</v>
      </c>
      <c r="B37" s="27" t="s">
        <v>85</v>
      </c>
      <c r="C37" s="6">
        <v>4100</v>
      </c>
      <c r="D37" s="6">
        <f>SUM(C37)*12</f>
        <v>49200</v>
      </c>
      <c r="E37" s="2" t="s">
        <v>87</v>
      </c>
      <c r="F37" s="2" t="s">
        <v>86</v>
      </c>
      <c r="G37" s="17"/>
    </row>
    <row r="38" spans="1:7" s="15" customFormat="1" ht="30" x14ac:dyDescent="0.25">
      <c r="A38" s="28" t="s">
        <v>150</v>
      </c>
      <c r="B38" s="25" t="s">
        <v>32</v>
      </c>
      <c r="C38" s="6">
        <v>8800</v>
      </c>
      <c r="D38" s="6">
        <f>SUM(C38)*12</f>
        <v>105600</v>
      </c>
      <c r="E38" s="2" t="s">
        <v>33</v>
      </c>
      <c r="F38" s="2" t="s">
        <v>83</v>
      </c>
    </row>
    <row r="39" spans="1:7" s="15" customFormat="1" x14ac:dyDescent="0.25">
      <c r="A39" s="2"/>
      <c r="B39" s="3" t="s">
        <v>11</v>
      </c>
      <c r="C39" s="5">
        <f>SUM(C22:C38)</f>
        <v>661864.79724999995</v>
      </c>
      <c r="D39" s="5">
        <f>SUM(D22:D38)</f>
        <v>7942377.5669999998</v>
      </c>
      <c r="E39" s="3"/>
      <c r="F39" s="3"/>
    </row>
    <row r="40" spans="1:7" x14ac:dyDescent="0.25">
      <c r="A40" s="20"/>
      <c r="B40" s="20" t="s">
        <v>60</v>
      </c>
      <c r="C40" s="5">
        <f>SUM(C17,C39)</f>
        <v>890006.40024999995</v>
      </c>
      <c r="D40" s="5">
        <f>SUM(D17,D39)</f>
        <v>10680076.802999999</v>
      </c>
      <c r="E40" s="3"/>
      <c r="F40" s="3"/>
    </row>
    <row r="42" spans="1:7" x14ac:dyDescent="0.25">
      <c r="A42" s="55" t="s">
        <v>151</v>
      </c>
      <c r="B42" s="55"/>
      <c r="C42" s="55"/>
      <c r="D42" s="55"/>
      <c r="E42" s="55"/>
      <c r="F42" s="55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16</v>
      </c>
      <c r="F44" s="2" t="s">
        <v>15</v>
      </c>
    </row>
    <row r="45" spans="1:7" ht="60" x14ac:dyDescent="0.25">
      <c r="A45" s="1" t="s">
        <v>13</v>
      </c>
      <c r="B45" s="2" t="s">
        <v>28</v>
      </c>
      <c r="C45" s="6">
        <v>7450.95</v>
      </c>
      <c r="D45" s="6">
        <f>SUM(C45)*12</f>
        <v>89411.4</v>
      </c>
      <c r="E45" s="2" t="s">
        <v>29</v>
      </c>
      <c r="F45" s="2" t="s">
        <v>178</v>
      </c>
      <c r="G45" s="7"/>
    </row>
    <row r="46" spans="1:7" s="15" customFormat="1" ht="90" x14ac:dyDescent="0.25">
      <c r="A46" s="29" t="s">
        <v>14</v>
      </c>
      <c r="B46" s="2" t="s">
        <v>89</v>
      </c>
      <c r="C46" s="6">
        <v>8875.9599999999991</v>
      </c>
      <c r="D46" s="6">
        <f>SUM(C46)*12</f>
        <v>106511.51999999999</v>
      </c>
      <c r="E46" s="2"/>
      <c r="F46" s="2" t="s">
        <v>175</v>
      </c>
    </row>
    <row r="47" spans="1:7" x14ac:dyDescent="0.25">
      <c r="A47" s="3"/>
      <c r="B47" s="3" t="s">
        <v>11</v>
      </c>
      <c r="C47" s="5">
        <f>SUM(C45:C46)</f>
        <v>16326.91</v>
      </c>
      <c r="D47" s="5">
        <f>SUM(D45:D46)</f>
        <v>195922.91999999998</v>
      </c>
      <c r="E47" s="3"/>
      <c r="F47" s="3"/>
    </row>
    <row r="48" spans="1:7" ht="39" customHeight="1" x14ac:dyDescent="0.25">
      <c r="A48" s="22"/>
      <c r="B48" s="3" t="s">
        <v>157</v>
      </c>
      <c r="C48" s="5">
        <f>SUM(C47,C40)</f>
        <v>906333.31024999998</v>
      </c>
      <c r="D48" s="5">
        <f>SUM(D47,D40)</f>
        <v>10875999.722999999</v>
      </c>
      <c r="E48" s="3"/>
      <c r="F48" s="3"/>
    </row>
    <row r="50" spans="1:6" x14ac:dyDescent="0.25">
      <c r="A50" s="55" t="s">
        <v>152</v>
      </c>
      <c r="B50" s="55"/>
      <c r="C50" s="55"/>
      <c r="D50" s="55"/>
      <c r="E50" s="55"/>
      <c r="F50" s="55"/>
    </row>
    <row r="51" spans="1:6" s="15" customFormat="1" x14ac:dyDescent="0.25">
      <c r="A51" s="4"/>
      <c r="B51" s="4"/>
      <c r="C51" s="4"/>
      <c r="D51" s="4"/>
      <c r="E51" s="4"/>
      <c r="F51" s="4"/>
    </row>
    <row r="52" spans="1:6" s="15" customFormat="1" x14ac:dyDescent="0.25">
      <c r="A52" s="9" t="s">
        <v>0</v>
      </c>
      <c r="B52" s="9" t="s">
        <v>1</v>
      </c>
      <c r="C52" s="9" t="s">
        <v>2</v>
      </c>
      <c r="D52" s="9" t="s">
        <v>3</v>
      </c>
      <c r="E52" s="9" t="s">
        <v>16</v>
      </c>
      <c r="F52" s="9" t="s">
        <v>15</v>
      </c>
    </row>
    <row r="53" spans="1:6" s="15" customFormat="1" ht="135" x14ac:dyDescent="0.25">
      <c r="A53" s="1" t="s">
        <v>61</v>
      </c>
      <c r="B53" s="2" t="s">
        <v>26</v>
      </c>
      <c r="C53" s="6">
        <f>SUM(Исполнение!U40)</f>
        <v>45836.299999999974</v>
      </c>
      <c r="D53" s="6">
        <f>SUM(C53)*12</f>
        <v>550035.59999999963</v>
      </c>
      <c r="E53" s="2" t="s">
        <v>163</v>
      </c>
      <c r="F53" s="2" t="s">
        <v>171</v>
      </c>
    </row>
    <row r="54" spans="1:6" s="15" customFormat="1" ht="45" x14ac:dyDescent="0.25">
      <c r="A54" s="1" t="s">
        <v>153</v>
      </c>
      <c r="B54" s="2" t="s">
        <v>39</v>
      </c>
      <c r="C54" s="6">
        <f>SUM(Исполнение!U41)</f>
        <v>176742.46459999998</v>
      </c>
      <c r="D54" s="6">
        <f>SUM(C54)*12</f>
        <v>2120909.5751999998</v>
      </c>
      <c r="E54" s="2" t="s">
        <v>41</v>
      </c>
      <c r="F54" s="2" t="s">
        <v>164</v>
      </c>
    </row>
    <row r="55" spans="1:6" s="15" customFormat="1" ht="45" x14ac:dyDescent="0.25">
      <c r="A55" s="1" t="s">
        <v>154</v>
      </c>
      <c r="B55" s="2" t="s">
        <v>51</v>
      </c>
      <c r="C55" s="6">
        <f>SUM(Исполнение!U42+Исполнение!U43)</f>
        <v>40584.736799999999</v>
      </c>
      <c r="D55" s="6">
        <f>SUM(C55)*12</f>
        <v>487016.84159999999</v>
      </c>
      <c r="E55" s="2" t="s">
        <v>40</v>
      </c>
      <c r="F55" s="2" t="s">
        <v>174</v>
      </c>
    </row>
    <row r="56" spans="1:6" s="15" customFormat="1" ht="60" x14ac:dyDescent="0.25">
      <c r="A56" s="1" t="s">
        <v>155</v>
      </c>
      <c r="B56" s="2" t="s">
        <v>38</v>
      </c>
      <c r="C56" s="6">
        <f>SUM(Исполнение!U44+Исполнение!U45)</f>
        <v>36398.964</v>
      </c>
      <c r="D56" s="6">
        <f>SUM(C56)*12</f>
        <v>436787.56799999997</v>
      </c>
      <c r="E56" s="2" t="s">
        <v>42</v>
      </c>
      <c r="F56" s="2" t="s">
        <v>173</v>
      </c>
    </row>
    <row r="57" spans="1:6" ht="30" x14ac:dyDescent="0.25">
      <c r="A57" s="21"/>
      <c r="B57" s="19" t="s">
        <v>161</v>
      </c>
      <c r="C57" s="5">
        <f>SUM(C53:C56)</f>
        <v>299562.46539999993</v>
      </c>
      <c r="D57" s="5">
        <f>SUM(D53:D56)</f>
        <v>3594749.5847999994</v>
      </c>
      <c r="E57" s="3"/>
      <c r="F57" s="3"/>
    </row>
    <row r="58" spans="1:6" ht="36.75" customHeight="1" x14ac:dyDescent="0.25">
      <c r="A58" s="22"/>
      <c r="B58" s="3" t="s">
        <v>158</v>
      </c>
      <c r="C58" s="5">
        <f>SUM(C57,C48)</f>
        <v>1205895.77565</v>
      </c>
      <c r="D58" s="5">
        <f>SUM(D57,D48)</f>
        <v>14470749.307799999</v>
      </c>
      <c r="E58" s="3"/>
      <c r="F58" s="3"/>
    </row>
    <row r="60" spans="1:6" x14ac:dyDescent="0.25">
      <c r="A60" s="55" t="s">
        <v>156</v>
      </c>
      <c r="B60" s="55"/>
      <c r="C60" s="55"/>
      <c r="D60" s="55"/>
      <c r="E60" s="55"/>
      <c r="F60" s="55"/>
    </row>
    <row r="62" spans="1:6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16</v>
      </c>
      <c r="F62" s="2" t="s">
        <v>15</v>
      </c>
    </row>
    <row r="63" spans="1:6" ht="120" x14ac:dyDescent="0.25">
      <c r="A63" s="28" t="s">
        <v>62</v>
      </c>
      <c r="B63" s="25" t="s">
        <v>37</v>
      </c>
      <c r="C63" s="6">
        <f>SUM(Исполнение!U52)</f>
        <v>119774.41500000001</v>
      </c>
      <c r="D63" s="6">
        <f>SUM(C63)*12</f>
        <v>1437292.98</v>
      </c>
      <c r="E63" s="2"/>
      <c r="F63" s="2" t="s">
        <v>172</v>
      </c>
    </row>
    <row r="64" spans="1:6" ht="45" x14ac:dyDescent="0.25">
      <c r="A64" s="23"/>
      <c r="B64" s="3" t="s">
        <v>159</v>
      </c>
      <c r="C64" s="5">
        <f>SUM(C60:C63)</f>
        <v>119774.41500000001</v>
      </c>
      <c r="D64" s="5">
        <f>SUM(D60:D63)</f>
        <v>1437292.98</v>
      </c>
      <c r="E64" s="3"/>
      <c r="F64" s="3"/>
    </row>
    <row r="65" spans="1:6" ht="15" customHeight="1" x14ac:dyDescent="0.25">
      <c r="A65" s="24"/>
      <c r="B65" s="3" t="s">
        <v>160</v>
      </c>
      <c r="C65" s="5">
        <f>SUM(C64,C58)</f>
        <v>1325670.19065</v>
      </c>
      <c r="D65" s="5">
        <f>SUM(D64,D58)</f>
        <v>15908042.287799999</v>
      </c>
      <c r="E65" s="3"/>
      <c r="F65" s="3"/>
    </row>
    <row r="71" spans="1:6" ht="15" customHeight="1" x14ac:dyDescent="0.25"/>
  </sheetData>
  <mergeCells count="10">
    <mergeCell ref="J12:M12"/>
    <mergeCell ref="A50:F50"/>
    <mergeCell ref="A60:F60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План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2016-06-09T16:53:14Z</cp:lastPrinted>
  <dcterms:created xsi:type="dcterms:W3CDTF">2014-05-22T15:03:02Z</dcterms:created>
  <dcterms:modified xsi:type="dcterms:W3CDTF">2024-04-19T10:23:16Z</dcterms:modified>
</cp:coreProperties>
</file>